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drawings/drawing1.xml" ContentType="application/vnd.openxmlformats-officedocument.drawing+xml"/>
  <Override PartName="/xl/worksheets/sheet19.xml" ContentType="application/vnd.openxmlformats-officedocument.spreadsheetml.worksheet+xml"/>
  <Override PartName="/xl/worksheets/sheet20.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990" tabRatio="500" firstSheet="0" activeTab="0" autoFilterDateGrouping="1"/>
  </bookViews>
  <sheets>
    <sheet xmlns:r="http://schemas.openxmlformats.org/officeDocument/2006/relationships" name="How To Use" sheetId="1" state="visible" r:id="rId1"/>
    <sheet xmlns:r="http://schemas.openxmlformats.org/officeDocument/2006/relationships" name="Traditional vs Customer-First" sheetId="2" state="visible" r:id="rId2"/>
    <sheet xmlns:r="http://schemas.openxmlformats.org/officeDocument/2006/relationships" name="Weights &amp; Assumptions" sheetId="3" state="visible" r:id="rId3"/>
    <sheet xmlns:r="http://schemas.openxmlformats.org/officeDocument/2006/relationships" name="Partners" sheetId="4" state="visible" r:id="rId4"/>
    <sheet xmlns:r="http://schemas.openxmlformats.org/officeDocument/2006/relationships" name="Opportunities" sheetId="5" state="visible" r:id="rId5"/>
    <sheet xmlns:r="http://schemas.openxmlformats.org/officeDocument/2006/relationships" name="Engagements" sheetId="6" state="visible" r:id="rId6"/>
    <sheet xmlns:r="http://schemas.openxmlformats.org/officeDocument/2006/relationships" name="Survey Results" sheetId="7" state="visible" r:id="rId7"/>
    <sheet xmlns:r="http://schemas.openxmlformats.org/officeDocument/2006/relationships" name="Support Tickets" sheetId="8" state="visible" r:id="rId8"/>
    <sheet xmlns:r="http://schemas.openxmlformats.org/officeDocument/2006/relationships" name="Adoption Metrics" sheetId="9" state="visible" r:id="rId9"/>
    <sheet xmlns:r="http://schemas.openxmlformats.org/officeDocument/2006/relationships" name="Internal Reputation" sheetId="10" state="visible" r:id="rId10"/>
    <sheet xmlns:r="http://schemas.openxmlformats.org/officeDocument/2006/relationships" name="Customers" sheetId="11" state="visible" r:id="rId11"/>
    <sheet xmlns:r="http://schemas.openxmlformats.org/officeDocument/2006/relationships" name="CDE Calculator" sheetId="12" state="visible" r:id="rId12"/>
    <sheet xmlns:r="http://schemas.openxmlformats.org/officeDocument/2006/relationships" name="CSI Calculator" sheetId="13" state="visible" r:id="rId13"/>
    <sheet xmlns:r="http://schemas.openxmlformats.org/officeDocument/2006/relationships" name="ECS Calculator" sheetId="14" state="visible" r:id="rId14"/>
    <sheet xmlns:r="http://schemas.openxmlformats.org/officeDocument/2006/relationships" name="Combined Dashboard" sheetId="15" state="visible" r:id="rId15"/>
    <sheet xmlns:r="http://schemas.openxmlformats.org/officeDocument/2006/relationships" name="Partner Value Attribution" sheetId="16" state="visible" r:id="rId16"/>
    <sheet xmlns:r="http://schemas.openxmlformats.org/officeDocument/2006/relationships" name="Value Impact Model" sheetId="17" state="visible" r:id="rId17"/>
    <sheet xmlns:r="http://schemas.openxmlformats.org/officeDocument/2006/relationships" name="Visibility Map" sheetId="18" state="visible" r:id="rId18"/>
    <sheet xmlns:r="http://schemas.openxmlformats.org/officeDocument/2006/relationships" name="Research &amp; Parameters" sheetId="19" state="visible" r:id="rId19"/>
    <sheet xmlns:r="http://schemas.openxmlformats.org/officeDocument/2006/relationships" name="Scenario" sheetId="20" state="visible" r:id="rId20"/>
  </sheets>
  <definedNames/>
  <calcPr calcId="191029" fullCalcOnLoad="1" iterateDelta="0.0001"/>
</workbook>
</file>

<file path=xl/styles.xml><?xml version="1.0" encoding="utf-8"?>
<styleSheet xmlns="http://schemas.openxmlformats.org/spreadsheetml/2006/main">
  <numFmts count="14">
    <numFmt numFmtId="164" formatCode="0.0%"/>
    <numFmt numFmtId="165" formatCode="0.0"/>
    <numFmt numFmtId="166" formatCode="yyyy\-mm\-dd"/>
    <numFmt numFmtId="167" formatCode="\$#,##0"/>
    <numFmt numFmtId="168" formatCode="0.0\x"/>
    <numFmt numFmtId="169" formatCode="mmm\ yyyy"/>
    <numFmt numFmtId="170" formatCode="\+0;\-0;0"/>
    <numFmt numFmtId="171" formatCode="0.0;;&quot;·&quot;"/>
    <numFmt numFmtId="172" formatCode="$#,##0,&quot;k&quot;"/>
    <numFmt numFmtId="173" formatCode="$#,##0,&quot;k&quot;;;"/>
    <numFmt numFmtId="174" formatCode="$#,##0,&quot;k unrecorded&quot;;;"/>
    <numFmt numFmtId="175" formatCode="$#,##0;[Red]-$#,##0"/>
    <numFmt numFmtId="176" formatCode="+0.0%;-0.0%"/>
    <numFmt numFmtId="177" formatCode="+0.0%;-0.0%;0.0%"/>
  </numFmts>
  <fonts count="34">
    <font>
      <name val="Calibri"/>
      <charset val="1"/>
      <family val="2"/>
      <color theme="1"/>
      <sz val="11"/>
    </font>
    <font>
      <name val="Arial"/>
      <charset val="1"/>
      <b val="1"/>
      <color rgb="FF1B2A4A"/>
      <sz val="14"/>
    </font>
    <font>
      <name val="Arial"/>
      <charset val="1"/>
      <sz val="10"/>
    </font>
    <font>
      <name val="Arial"/>
      <charset val="1"/>
      <b val="1"/>
      <color rgb="FF1B2A4A"/>
      <sz val="12"/>
    </font>
    <font>
      <name val="Arial"/>
      <charset val="1"/>
      <color rgb="FF333333"/>
      <sz val="10"/>
    </font>
    <font>
      <name val="Arial"/>
      <charset val="1"/>
      <i val="1"/>
      <color rgb="FF666666"/>
      <sz val="9"/>
    </font>
    <font>
      <name val="Arial"/>
      <charset val="1"/>
      <b val="1"/>
      <color rgb="FFFFFFFF"/>
      <sz val="11"/>
    </font>
    <font>
      <name val="Arial"/>
      <charset val="1"/>
      <b val="1"/>
      <sz val="10"/>
    </font>
    <font>
      <name val="Arial"/>
      <charset val="1"/>
      <b val="1"/>
      <color rgb="FF0000FF"/>
      <sz val="11"/>
    </font>
    <font>
      <name val="Arial"/>
      <charset val="1"/>
      <color rgb="FF000000"/>
      <sz val="10"/>
    </font>
    <font>
      <name val="Arial"/>
      <charset val="1"/>
      <b val="1"/>
      <sz val="11"/>
    </font>
    <font>
      <name val="Arial"/>
      <charset val="1"/>
      <color rgb="FF0000FF"/>
      <sz val="10"/>
    </font>
    <font>
      <name val="Arial"/>
      <charset val="1"/>
      <i val="1"/>
      <color rgb="FF999999"/>
      <sz val="10"/>
    </font>
    <font>
      <name val="Arial"/>
      <charset val="1"/>
      <b val="1"/>
      <color rgb="FF2D4A7A"/>
      <sz val="12"/>
    </font>
    <font>
      <name val="Arial"/>
      <charset val="1"/>
      <b val="1"/>
      <color rgb="FF7B2D8E"/>
      <sz val="11"/>
    </font>
    <font>
      <name val="Arial"/>
      <charset val="1"/>
      <i val="1"/>
      <color rgb="FF999999"/>
      <sz val="9"/>
    </font>
    <font>
      <name val="Arial"/>
      <charset val="1"/>
      <b val="1"/>
      <color rgb="FFE74C3C"/>
      <sz val="12"/>
    </font>
    <font>
      <b val="1"/>
      <sz val="14"/>
    </font>
    <font>
      <i val="1"/>
      <color rgb="FF555555"/>
      <sz val="9"/>
    </font>
    <font>
      <b val="1"/>
      <color rgb="FFFFFFFF"/>
    </font>
    <font>
      <b val="1"/>
    </font>
    <font>
      <color rgb="FF0563C1"/>
      <u val="single"/>
    </font>
    <font>
      <color rgb="FF0000FF"/>
    </font>
    <font>
      <b val="1"/>
      <color rgb="FF1C2230"/>
      <sz val="15"/>
    </font>
    <font>
      <color rgb="FF6B7280"/>
      <sz val="10"/>
    </font>
    <font>
      <color rgb="FF1C2230"/>
      <sz val="9"/>
    </font>
    <font>
      <b val="1"/>
      <color rgb="FF1C2230"/>
      <sz val="10"/>
    </font>
    <font>
      <color rgb="FFF1F1F1"/>
      <sz val="1"/>
    </font>
    <font>
      <color rgb="FF6B7280"/>
      <sz val="9"/>
    </font>
    <font>
      <b val="1"/>
      <color rgb="FF1C2230"/>
      <sz val="13"/>
    </font>
    <font>
      <b val="1"/>
      <color rgb="FF6B7280"/>
      <sz val="9"/>
    </font>
    <font>
      <b val="1"/>
      <color rgb="FF1C2230"/>
      <sz val="12"/>
    </font>
    <font>
      <color rgb="FF1C2230"/>
      <sz val="10"/>
    </font>
    <font>
      <b val="1"/>
      <color rgb="FF1C2230"/>
    </font>
  </fonts>
  <fills count="12">
    <fill>
      <patternFill/>
    </fill>
    <fill>
      <patternFill patternType="gray125"/>
    </fill>
    <fill>
      <patternFill patternType="solid">
        <fgColor rgb="FF2D4A7A"/>
        <bgColor rgb="FF333333"/>
      </patternFill>
    </fill>
    <fill>
      <patternFill patternType="solid">
        <fgColor rgb="FFFFF9C4"/>
        <bgColor rgb="FFFFFF99"/>
      </patternFill>
    </fill>
    <fill>
      <patternFill patternType="solid">
        <fgColor rgb="FFF2F2F2"/>
        <bgColor rgb="FFE2EFDA"/>
      </patternFill>
    </fill>
    <fill>
      <patternFill patternType="solid">
        <fgColor rgb="FFE2EFDA"/>
        <bgColor rgb="FFF2F2F2"/>
      </patternFill>
    </fill>
    <fill>
      <patternFill patternType="solid">
        <fgColor rgb="FFE8D5F5"/>
        <bgColor rgb="FFFCE4EC"/>
      </patternFill>
    </fill>
    <fill>
      <patternFill patternType="solid">
        <fgColor rgb="FFFCE4EC"/>
        <bgColor rgb="FFF2F2F2"/>
      </patternFill>
    </fill>
    <fill>
      <patternFill patternType="solid">
        <fgColor rgb="FF2D4A7A"/>
      </patternFill>
    </fill>
    <fill>
      <patternFill patternType="solid">
        <fgColor rgb="FF93D48F"/>
      </patternFill>
    </fill>
    <fill>
      <patternFill patternType="solid">
        <fgColor rgb="FFFCD98A"/>
      </patternFill>
    </fill>
    <fill>
      <patternFill patternType="solid">
        <fgColor rgb="FFF1F1F1"/>
      </patternFill>
    </fill>
  </fills>
  <borders count="9">
    <border>
      <left/>
      <right/>
      <top/>
      <bottom/>
      <diagonal/>
    </border>
    <border>
      <left style="thin">
        <color rgb="FFD0D0D0"/>
      </left>
      <right style="thin">
        <color rgb="FFD0D0D0"/>
      </right>
      <top style="thin">
        <color rgb="FFD0D0D0"/>
      </top>
      <bottom style="thin">
        <color rgb="FFD0D0D0"/>
      </bottom>
      <diagonal/>
    </border>
    <border>
      <left/>
      <right/>
      <top style="thin">
        <color rgb="FFD0D0D0"/>
      </top>
      <bottom/>
      <diagonal/>
    </border>
    <border>
      <left/>
      <right style="thin">
        <color rgb="FFD0D0D0"/>
      </right>
      <top style="thin">
        <color rgb="FFD0D0D0"/>
      </top>
      <bottom/>
      <diagonal/>
    </border>
    <border>
      <left/>
      <right/>
      <top style="thin">
        <color rgb="FFD0D0D0"/>
      </top>
      <bottom style="thin">
        <color rgb="FFD0D0D0"/>
      </bottom>
      <diagonal/>
    </border>
    <border>
      <left/>
      <right style="thin">
        <color rgb="FFD0D0D0"/>
      </right>
      <top style="thin">
        <color rgb="FFD0D0D0"/>
      </top>
      <bottom style="thin">
        <color rgb="FFD0D0D0"/>
      </bottom>
      <diagonal/>
    </border>
    <border>
      <bottom style="thin">
        <color rgb="FFD9D9D9"/>
      </bottom>
    </border>
    <border>
      <left style="thick">
        <color rgb="FFFFFFFF"/>
      </left>
      <right style="thick">
        <color rgb="FFFFFFFF"/>
      </right>
      <top style="thick">
        <color rgb="FFFFFFFF"/>
      </top>
      <bottom style="thick">
        <color rgb="FFFFFFFF"/>
      </bottom>
    </border>
    <border>
      <top style="thin">
        <color rgb="FF999999"/>
      </top>
    </border>
  </borders>
  <cellStyleXfs count="1">
    <xf numFmtId="0" fontId="0" fillId="0" borderId="0"/>
  </cellStyleXfs>
  <cellXfs count="162">
    <xf numFmtId="0" fontId="0" fillId="0" borderId="0" pivotButton="0" quotePrefix="0" xfId="0"/>
    <xf numFmtId="0" fontId="7" fillId="0" borderId="0" pivotButton="0" quotePrefix="0" xfId="0"/>
    <xf numFmtId="0" fontId="5" fillId="0" borderId="0" pivotButton="0" quotePrefix="0" xfId="0"/>
    <xf numFmtId="0" fontId="1" fillId="0" borderId="0" pivotButton="0" quotePrefix="0" xfId="0"/>
    <xf numFmtId="0" fontId="3" fillId="0" borderId="0" pivotButton="0" quotePrefix="0" xfId="0"/>
    <xf numFmtId="0" fontId="6" fillId="2" borderId="1" applyAlignment="1" pivotButton="0" quotePrefix="0" xfId="0">
      <alignment horizontal="center" wrapText="1"/>
    </xf>
    <xf numFmtId="0" fontId="7" fillId="0" borderId="1" pivotButton="0" quotePrefix="0" xfId="0"/>
    <xf numFmtId="0" fontId="8" fillId="3" borderId="1" applyAlignment="1" pivotButton="0" quotePrefix="0" xfId="0">
      <alignment horizontal="center"/>
    </xf>
    <xf numFmtId="0" fontId="4" fillId="0" borderId="1" pivotButton="0" quotePrefix="0" xfId="0"/>
    <xf numFmtId="0" fontId="9" fillId="0" borderId="1" applyAlignment="1" pivotButton="0" quotePrefix="0" xfId="0">
      <alignment horizontal="center"/>
    </xf>
    <xf numFmtId="164" fontId="9" fillId="0" borderId="1" applyAlignment="1" pivotButton="0" quotePrefix="0" xfId="0">
      <alignment horizontal="center"/>
    </xf>
    <xf numFmtId="0" fontId="10" fillId="0" borderId="1" applyAlignment="1" pivotButton="0" quotePrefix="0" xfId="0">
      <alignment horizontal="center"/>
    </xf>
    <xf numFmtId="9" fontId="8" fillId="3" borderId="1" applyAlignment="1" pivotButton="0" quotePrefix="0" xfId="0">
      <alignment horizontal="center"/>
    </xf>
    <xf numFmtId="165" fontId="8" fillId="3" borderId="1" applyAlignment="1" pivotButton="0" quotePrefix="0" xfId="0">
      <alignment horizontal="center"/>
    </xf>
    <xf numFmtId="0" fontId="11" fillId="0" borderId="1" applyAlignment="1" pivotButton="0" quotePrefix="0" xfId="0">
      <alignment horizontal="center"/>
    </xf>
    <xf numFmtId="1" fontId="11" fillId="0" borderId="1" applyAlignment="1" pivotButton="0" quotePrefix="0" xfId="0">
      <alignment horizontal="center"/>
    </xf>
    <xf numFmtId="3" fontId="11" fillId="0" borderId="1" applyAlignment="1" pivotButton="0" quotePrefix="0" xfId="0">
      <alignment horizontal="center"/>
    </xf>
    <xf numFmtId="0" fontId="11" fillId="4" borderId="1" applyAlignment="1" pivotButton="0" quotePrefix="0" xfId="0">
      <alignment horizontal="center"/>
    </xf>
    <xf numFmtId="1" fontId="11" fillId="4" borderId="1" applyAlignment="1" pivotButton="0" quotePrefix="0" xfId="0">
      <alignment horizontal="center"/>
    </xf>
    <xf numFmtId="3" fontId="11" fillId="4" borderId="1" applyAlignment="1" pivotButton="0" quotePrefix="0" xfId="0">
      <alignment horizontal="center"/>
    </xf>
    <xf numFmtId="0" fontId="11" fillId="0" borderId="1" applyAlignment="1" pivotButton="0" quotePrefix="0" xfId="0">
      <alignment horizontal="center" wrapText="1"/>
    </xf>
    <xf numFmtId="166" fontId="11" fillId="0" borderId="1" applyAlignment="1" pivotButton="0" quotePrefix="0" xfId="0">
      <alignment horizontal="center" wrapText="1"/>
    </xf>
    <xf numFmtId="165" fontId="9" fillId="0" borderId="1" applyAlignment="1" pivotButton="0" quotePrefix="0" xfId="0">
      <alignment horizontal="center" wrapText="1"/>
    </xf>
    <xf numFmtId="167" fontId="11" fillId="0" borderId="1" applyAlignment="1" pivotButton="0" quotePrefix="0" xfId="0">
      <alignment horizontal="center" wrapText="1"/>
    </xf>
    <xf numFmtId="0" fontId="11" fillId="4" borderId="1" applyAlignment="1" pivotButton="0" quotePrefix="0" xfId="0">
      <alignment horizontal="center" wrapText="1"/>
    </xf>
    <xf numFmtId="166" fontId="11" fillId="4" borderId="1" applyAlignment="1" pivotButton="0" quotePrefix="0" xfId="0">
      <alignment horizontal="center" wrapText="1"/>
    </xf>
    <xf numFmtId="165" fontId="9" fillId="4" borderId="1" applyAlignment="1" pivotButton="0" quotePrefix="0" xfId="0">
      <alignment horizontal="center" wrapText="1"/>
    </xf>
    <xf numFmtId="167" fontId="11" fillId="4" borderId="1" applyAlignment="1" pivotButton="0" quotePrefix="0" xfId="0">
      <alignment horizontal="center" wrapText="1"/>
    </xf>
    <xf numFmtId="165" fontId="11" fillId="0" borderId="1" applyAlignment="1" pivotButton="0" quotePrefix="0" xfId="0">
      <alignment horizontal="center" wrapText="1"/>
    </xf>
    <xf numFmtId="165" fontId="11" fillId="4" borderId="1" applyAlignment="1" pivotButton="0" quotePrefix="0" xfId="0">
      <alignment horizontal="center" wrapText="1"/>
    </xf>
    <xf numFmtId="168" fontId="11" fillId="0" borderId="1" applyAlignment="1" pivotButton="0" quotePrefix="0" xfId="0">
      <alignment horizontal="center" wrapText="1"/>
    </xf>
    <xf numFmtId="164" fontId="11" fillId="4" borderId="1" applyAlignment="1" pivotButton="0" quotePrefix="0" xfId="0">
      <alignment horizontal="center" wrapText="1"/>
    </xf>
    <xf numFmtId="164" fontId="11" fillId="0" borderId="1" applyAlignment="1" pivotButton="0" quotePrefix="0" xfId="0">
      <alignment horizontal="center" wrapText="1"/>
    </xf>
    <xf numFmtId="168" fontId="11" fillId="4" borderId="1" applyAlignment="1" pivotButton="0" quotePrefix="0" xfId="0">
      <alignment horizontal="center" wrapText="1"/>
    </xf>
    <xf numFmtId="1" fontId="11" fillId="0" borderId="1" applyAlignment="1" pivotButton="0" quotePrefix="0" xfId="0">
      <alignment horizontal="center" wrapText="1"/>
    </xf>
    <xf numFmtId="1" fontId="11" fillId="4" borderId="1" applyAlignment="1" pivotButton="0" quotePrefix="0" xfId="0">
      <alignment horizontal="center" wrapText="1"/>
    </xf>
    <xf numFmtId="165" fontId="10" fillId="0" borderId="1" pivotButton="0" quotePrefix="0" xfId="0"/>
    <xf numFmtId="168" fontId="10" fillId="0" borderId="1" pivotButton="0" quotePrefix="0" xfId="0"/>
    <xf numFmtId="164" fontId="10" fillId="0" borderId="1" pivotButton="0" quotePrefix="0" xfId="0"/>
    <xf numFmtId="1" fontId="10" fillId="0" borderId="1" pivotButton="0" quotePrefix="0" xfId="0"/>
    <xf numFmtId="1" fontId="9" fillId="0" borderId="1" applyAlignment="1" pivotButton="0" quotePrefix="0" xfId="0">
      <alignment horizontal="center" wrapText="1"/>
    </xf>
    <xf numFmtId="0" fontId="9" fillId="5" borderId="1" applyAlignment="1" pivotButton="0" quotePrefix="0" xfId="0">
      <alignment horizontal="center"/>
    </xf>
    <xf numFmtId="1" fontId="9" fillId="4" borderId="1" applyAlignment="1" pivotButton="0" quotePrefix="0" xfId="0">
      <alignment horizontal="center" wrapText="1"/>
    </xf>
    <xf numFmtId="0" fontId="12" fillId="0" borderId="1" applyAlignment="1" pivotButton="0" quotePrefix="0" xfId="0">
      <alignment horizontal="center"/>
    </xf>
    <xf numFmtId="165" fontId="9" fillId="0" borderId="1" applyAlignment="1" pivotButton="0" quotePrefix="0" xfId="0">
      <alignment horizontal="center"/>
    </xf>
    <xf numFmtId="0" fontId="9" fillId="0" borderId="1" pivotButton="0" quotePrefix="0" xfId="0"/>
    <xf numFmtId="164" fontId="9" fillId="0" borderId="1" pivotButton="0" quotePrefix="0" xfId="0"/>
    <xf numFmtId="169" fontId="11" fillId="0" borderId="1" applyAlignment="1" pivotButton="0" quotePrefix="0" xfId="0">
      <alignment horizontal="center" wrapText="1"/>
    </xf>
    <xf numFmtId="3" fontId="11" fillId="0" borderId="1" applyAlignment="1" pivotButton="0" quotePrefix="0" xfId="0">
      <alignment horizontal="center" wrapText="1"/>
    </xf>
    <xf numFmtId="164" fontId="9" fillId="0" borderId="1" applyAlignment="1" pivotButton="0" quotePrefix="0" xfId="0">
      <alignment horizontal="center" wrapText="1"/>
    </xf>
    <xf numFmtId="169" fontId="11" fillId="4" borderId="1" applyAlignment="1" pivotButton="0" quotePrefix="0" xfId="0">
      <alignment horizontal="center" wrapText="1"/>
    </xf>
    <xf numFmtId="3" fontId="11" fillId="4" borderId="1" applyAlignment="1" pivotButton="0" quotePrefix="0" xfId="0">
      <alignment horizontal="center" wrapText="1"/>
    </xf>
    <xf numFmtId="164" fontId="9" fillId="4" borderId="1" applyAlignment="1" pivotButton="0" quotePrefix="0" xfId="0">
      <alignment horizontal="center" wrapText="1"/>
    </xf>
    <xf numFmtId="1" fontId="9" fillId="0" borderId="1" applyAlignment="1" pivotButton="0" quotePrefix="0" xfId="0">
      <alignment horizontal="center"/>
    </xf>
    <xf numFmtId="165" fontId="14" fillId="0" borderId="1" applyAlignment="1" pivotButton="0" quotePrefix="0" xfId="0">
      <alignment horizontal="center"/>
    </xf>
    <xf numFmtId="167" fontId="11" fillId="0" borderId="1" applyAlignment="1" pivotButton="0" quotePrefix="0" xfId="0">
      <alignment horizontal="center"/>
    </xf>
    <xf numFmtId="167" fontId="11" fillId="4" borderId="1" applyAlignment="1" pivotButton="0" quotePrefix="0" xfId="0">
      <alignment horizontal="center"/>
    </xf>
    <xf numFmtId="0" fontId="15" fillId="0" borderId="0" pivotButton="0" quotePrefix="0" xfId="0"/>
    <xf numFmtId="165" fontId="9" fillId="0" borderId="1" pivotButton="0" quotePrefix="0" xfId="0"/>
    <xf numFmtId="0" fontId="9" fillId="4" borderId="1" applyAlignment="1" pivotButton="0" quotePrefix="0" xfId="0">
      <alignment horizontal="center" wrapText="1"/>
    </xf>
    <xf numFmtId="168" fontId="9" fillId="4" borderId="1" applyAlignment="1" pivotButton="0" quotePrefix="0" xfId="0">
      <alignment horizontal="center" wrapText="1"/>
    </xf>
    <xf numFmtId="0" fontId="9" fillId="0" borderId="1" applyAlignment="1" pivotButton="0" quotePrefix="0" xfId="0">
      <alignment horizontal="center" wrapText="1"/>
    </xf>
    <xf numFmtId="168" fontId="9" fillId="0" borderId="1" applyAlignment="1" pivotButton="0" quotePrefix="0" xfId="0">
      <alignment horizontal="center" wrapText="1"/>
    </xf>
    <xf numFmtId="0" fontId="15" fillId="0" borderId="1" applyAlignment="1" pivotButton="0" quotePrefix="0" xfId="0">
      <alignment horizontal="center"/>
    </xf>
    <xf numFmtId="168" fontId="9" fillId="0" borderId="1" applyAlignment="1" pivotButton="0" quotePrefix="0" xfId="0">
      <alignment horizontal="center"/>
    </xf>
    <xf numFmtId="167" fontId="9" fillId="0" borderId="1" applyAlignment="1" pivotButton="0" quotePrefix="0" xfId="0">
      <alignment horizontal="center"/>
    </xf>
    <xf numFmtId="0" fontId="9" fillId="4" borderId="1" applyAlignment="1" pivotButton="0" quotePrefix="0" xfId="0">
      <alignment horizontal="center"/>
    </xf>
    <xf numFmtId="168" fontId="9" fillId="4" borderId="1" applyAlignment="1" pivotButton="0" quotePrefix="0" xfId="0">
      <alignment horizontal="center"/>
    </xf>
    <xf numFmtId="1" fontId="9" fillId="4" borderId="1" applyAlignment="1" pivotButton="0" quotePrefix="0" xfId="0">
      <alignment horizontal="center"/>
    </xf>
    <xf numFmtId="164" fontId="9" fillId="4" borderId="1" applyAlignment="1" pivotButton="0" quotePrefix="0" xfId="0">
      <alignment horizontal="center"/>
    </xf>
    <xf numFmtId="167" fontId="9" fillId="4" borderId="1" applyAlignment="1" pivotButton="0" quotePrefix="0" xfId="0">
      <alignment horizontal="center"/>
    </xf>
    <xf numFmtId="165" fontId="9" fillId="4" borderId="1" applyAlignment="1" pivotButton="0" quotePrefix="0" xfId="0">
      <alignment horizontal="center"/>
    </xf>
    <xf numFmtId="167" fontId="10" fillId="0" borderId="1" pivotButton="0" quotePrefix="0" xfId="0"/>
    <xf numFmtId="0" fontId="11" fillId="6" borderId="1" applyAlignment="1" pivotButton="0" quotePrefix="0" xfId="0">
      <alignment horizontal="center" wrapText="1"/>
    </xf>
    <xf numFmtId="0" fontId="9" fillId="6" borderId="1" applyAlignment="1" pivotButton="0" quotePrefix="0" xfId="0">
      <alignment horizontal="center" wrapText="1"/>
    </xf>
    <xf numFmtId="167" fontId="9" fillId="6" borderId="1" applyAlignment="1" pivotButton="0" quotePrefix="0" xfId="0">
      <alignment horizontal="center" wrapText="1"/>
    </xf>
    <xf numFmtId="165" fontId="9" fillId="6" borderId="1" applyAlignment="1" pivotButton="0" quotePrefix="0" xfId="0">
      <alignment horizontal="center" wrapText="1"/>
    </xf>
    <xf numFmtId="167" fontId="9" fillId="0" borderId="1" applyAlignment="1" pivotButton="0" quotePrefix="0" xfId="0">
      <alignment horizontal="center" wrapText="1"/>
    </xf>
    <xf numFmtId="167" fontId="16" fillId="0" borderId="1" pivotButton="0" quotePrefix="0" xfId="0"/>
    <xf numFmtId="164" fontId="16" fillId="0" borderId="1" pivotButton="0" quotePrefix="0" xfId="0"/>
    <xf numFmtId="170" fontId="10" fillId="0" borderId="1" applyAlignment="1" pivotButton="0" quotePrefix="0" xfId="0">
      <alignment horizontal="center"/>
    </xf>
    <xf numFmtId="0" fontId="12" fillId="6" borderId="1" applyAlignment="1" pivotButton="0" quotePrefix="0" xfId="0">
      <alignment horizontal="center" wrapText="1"/>
    </xf>
    <xf numFmtId="1" fontId="14" fillId="6" borderId="1" applyAlignment="1" pivotButton="0" quotePrefix="0" xfId="0">
      <alignment horizontal="center" wrapText="1"/>
    </xf>
    <xf numFmtId="164" fontId="14" fillId="6" borderId="1" applyAlignment="1" pivotButton="0" quotePrefix="0" xfId="0">
      <alignment horizontal="center" wrapText="1"/>
    </xf>
    <xf numFmtId="0" fontId="14" fillId="6" borderId="1" applyAlignment="1" pivotButton="0" quotePrefix="0" xfId="0">
      <alignment horizontal="center" wrapText="1"/>
    </xf>
    <xf numFmtId="0" fontId="11" fillId="0" borderId="1" applyAlignment="1" pivotButton="0" quotePrefix="0" xfId="0">
      <alignment horizontal="left" wrapText="1"/>
    </xf>
    <xf numFmtId="0" fontId="11" fillId="5" borderId="1" applyAlignment="1" pivotButton="0" quotePrefix="0" xfId="0">
      <alignment horizontal="left" wrapText="1"/>
    </xf>
    <xf numFmtId="0" fontId="9" fillId="0" borderId="1" applyAlignment="1" pivotButton="0" quotePrefix="0" xfId="0">
      <alignment horizontal="left" wrapText="1"/>
    </xf>
    <xf numFmtId="0" fontId="11" fillId="4" borderId="1" applyAlignment="1" pivotButton="0" quotePrefix="0" xfId="0">
      <alignment horizontal="left" wrapText="1"/>
    </xf>
    <xf numFmtId="0" fontId="11" fillId="7" borderId="1" applyAlignment="1" pivotButton="0" quotePrefix="0" xfId="0">
      <alignment horizontal="left" wrapText="1"/>
    </xf>
    <xf numFmtId="0" fontId="2" fillId="0" borderId="0" pivotButton="0" quotePrefix="0" xfId="0"/>
    <xf numFmtId="0" fontId="3" fillId="0" borderId="0" pivotButton="0" quotePrefix="0" xfId="0"/>
    <xf numFmtId="0" fontId="4" fillId="0" borderId="0" pivotButton="0" quotePrefix="0" xfId="0"/>
    <xf numFmtId="0" fontId="1" fillId="0" borderId="0" pivotButton="0" quotePrefix="0" xfId="0"/>
    <xf numFmtId="0" fontId="5" fillId="0" borderId="0" pivotButton="0" quotePrefix="0" xfId="0"/>
    <xf numFmtId="0" fontId="7" fillId="0" borderId="1" applyAlignment="1" pivotButton="0" quotePrefix="0" xfId="0">
      <alignment wrapText="1"/>
    </xf>
    <xf numFmtId="0" fontId="9" fillId="0" borderId="1" applyAlignment="1" pivotButton="0" quotePrefix="0" xfId="0">
      <alignment wrapText="1"/>
    </xf>
    <xf numFmtId="0" fontId="13" fillId="0" borderId="0" pivotButton="0" quotePrefix="0" xfId="0"/>
    <xf numFmtId="0" fontId="7" fillId="0" borderId="0" pivotButton="0" quotePrefix="0" xfId="0"/>
    <xf numFmtId="0" fontId="7" fillId="0" borderId="1" applyAlignment="1" pivotButton="0" quotePrefix="0" xfId="0">
      <alignment vertical="top" wrapText="1"/>
    </xf>
    <xf numFmtId="0" fontId="9" fillId="0" borderId="1" applyAlignment="1" pivotButton="0" quotePrefix="0" xfId="0">
      <alignment vertical="top" wrapText="1"/>
    </xf>
    <xf numFmtId="0" fontId="4" fillId="0" borderId="1" applyAlignment="1" pivotButton="0" quotePrefix="0" xfId="0">
      <alignment vertical="top" wrapText="1"/>
    </xf>
    <xf numFmtId="0" fontId="0" fillId="0" borderId="4" pivotButton="0" quotePrefix="0" xfId="0"/>
    <xf numFmtId="0" fontId="0" fillId="0" borderId="5" pivotButton="0" quotePrefix="0" xfId="0"/>
    <xf numFmtId="2" fontId="8" fillId="3" borderId="1" applyAlignment="1" pivotButton="0" quotePrefix="0" xfId="0">
      <alignment horizontal="center"/>
    </xf>
    <xf numFmtId="1" fontId="6" fillId="2" borderId="1" applyAlignment="1" pivotButton="0" quotePrefix="0" xfId="0">
      <alignment horizontal="center" wrapText="1"/>
    </xf>
    <xf numFmtId="1" fontId="8" fillId="3" borderId="1" applyAlignment="1" pivotButton="0" quotePrefix="0" xfId="0">
      <alignment horizontal="center"/>
    </xf>
    <xf numFmtId="2" fontId="15" fillId="0" borderId="0" pivotButton="0" quotePrefix="0" xfId="0"/>
    <xf numFmtId="2" fontId="15" fillId="0" borderId="1" applyAlignment="1" pivotButton="0" quotePrefix="0" xfId="0">
      <alignment horizontal="center"/>
    </xf>
    <xf numFmtId="2" fontId="9" fillId="4" borderId="1" applyAlignment="1" pivotButton="0" quotePrefix="0" xfId="0">
      <alignment horizontal="center" wrapText="1"/>
    </xf>
    <xf numFmtId="2" fontId="9" fillId="0" borderId="1" applyAlignment="1" pivotButton="0" quotePrefix="0" xfId="0">
      <alignment horizontal="center"/>
    </xf>
    <xf numFmtId="2" fontId="9" fillId="4" borderId="1" applyAlignment="1" pivotButton="0" quotePrefix="0" xfId="0">
      <alignment horizontal="center"/>
    </xf>
    <xf numFmtId="171" fontId="9" fillId="6" borderId="1" applyAlignment="1" pivotButton="0" quotePrefix="0" xfId="0">
      <alignment horizontal="center" wrapText="1"/>
    </xf>
    <xf numFmtId="1" fontId="9" fillId="6" borderId="1" applyAlignment="1" pivotButton="0" quotePrefix="0" xfId="0">
      <alignment horizontal="center" wrapText="1"/>
    </xf>
    <xf numFmtId="2" fontId="9" fillId="6" borderId="1" applyAlignment="1" pivotButton="0" quotePrefix="0" xfId="0">
      <alignment horizontal="center" wrapText="1"/>
    </xf>
    <xf numFmtId="9" fontId="9" fillId="6" borderId="1" applyAlignment="1" pivotButton="0" quotePrefix="0" xfId="0">
      <alignment horizontal="center" wrapText="1"/>
    </xf>
    <xf numFmtId="0" fontId="17" fillId="0" borderId="0" pivotButton="0" quotePrefix="0" xfId="0"/>
    <xf numFmtId="0" fontId="0" fillId="0" borderId="0" applyAlignment="1" pivotButton="0" quotePrefix="0" xfId="0">
      <alignment vertical="top" wrapText="1"/>
    </xf>
    <xf numFmtId="0" fontId="18" fillId="0" borderId="0" pivotButton="0" quotePrefix="0" xfId="0"/>
    <xf numFmtId="0" fontId="19" fillId="8" borderId="0" applyAlignment="1" pivotButton="0" quotePrefix="0" xfId="0">
      <alignment horizontal="center" wrapText="1"/>
    </xf>
    <xf numFmtId="3" fontId="0" fillId="0" borderId="0" pivotButton="0" quotePrefix="0" xfId="0"/>
    <xf numFmtId="0" fontId="0" fillId="0" borderId="0" applyAlignment="1" pivotButton="0" quotePrefix="0" xfId="0">
      <alignment horizontal="center"/>
    </xf>
    <xf numFmtId="0" fontId="20" fillId="0" borderId="0" pivotButton="0" quotePrefix="0" xfId="0"/>
    <xf numFmtId="0" fontId="19" fillId="8" borderId="0" applyAlignment="1" pivotButton="0" quotePrefix="0" xfId="0">
      <alignment wrapText="1"/>
    </xf>
    <xf numFmtId="0" fontId="21" fillId="0" borderId="0" applyAlignment="1" pivotButton="0" quotePrefix="0" xfId="0">
      <alignment vertical="top" wrapText="1"/>
    </xf>
    <xf numFmtId="0" fontId="22" fillId="0" borderId="0" pivotButton="0" quotePrefix="0" xfId="0"/>
    <xf numFmtId="0" fontId="23" fillId="0" borderId="0" pivotButton="0" quotePrefix="0" xfId="0"/>
    <xf numFmtId="0" fontId="24" fillId="0" borderId="0" pivotButton="0" quotePrefix="0" xfId="0"/>
    <xf numFmtId="0" fontId="25" fillId="9" borderId="0" applyAlignment="1" pivotButton="0" quotePrefix="0" xfId="0">
      <alignment horizontal="center" vertical="center"/>
    </xf>
    <xf numFmtId="0" fontId="25" fillId="10" borderId="0" applyAlignment="1" pivotButton="0" quotePrefix="0" xfId="0">
      <alignment horizontal="center" vertical="center"/>
    </xf>
    <xf numFmtId="0" fontId="25" fillId="11" borderId="0" applyAlignment="1" pivotButton="0" quotePrefix="0" xfId="0">
      <alignment horizontal="center" vertical="center"/>
    </xf>
    <xf numFmtId="0" fontId="0" fillId="0" borderId="6" pivotButton="0" quotePrefix="0" xfId="0"/>
    <xf numFmtId="0" fontId="26" fillId="0" borderId="6" applyAlignment="1" pivotButton="0" quotePrefix="0" xfId="0">
      <alignment horizontal="center"/>
    </xf>
    <xf numFmtId="0" fontId="26" fillId="0" borderId="6" pivotButton="0" quotePrefix="0" xfId="0"/>
    <xf numFmtId="0" fontId="26" fillId="0" borderId="0" applyAlignment="1" pivotButton="0" quotePrefix="0" xfId="0">
      <alignment vertical="center"/>
    </xf>
    <xf numFmtId="172" fontId="24" fillId="0" borderId="0" applyAlignment="1" pivotButton="0" quotePrefix="0" xfId="0">
      <alignment vertical="center"/>
    </xf>
    <xf numFmtId="0" fontId="27" fillId="11" borderId="7" applyAlignment="1" pivotButton="0" quotePrefix="0" xfId="0">
      <alignment horizontal="center" vertical="center"/>
    </xf>
    <xf numFmtId="0" fontId="24" fillId="0" borderId="0" applyAlignment="1" pivotButton="0" quotePrefix="0" xfId="0">
      <alignment vertical="center"/>
    </xf>
    <xf numFmtId="0" fontId="28" fillId="0" borderId="0" applyAlignment="1" pivotButton="0" quotePrefix="0" xfId="0">
      <alignment vertical="top" wrapText="1"/>
    </xf>
    <xf numFmtId="0" fontId="29" fillId="0" borderId="0" pivotButton="0" quotePrefix="0" xfId="0"/>
    <xf numFmtId="0" fontId="30" fillId="0" borderId="0" pivotButton="0" quotePrefix="0" xfId="0"/>
    <xf numFmtId="0" fontId="28" fillId="0" borderId="0" pivotButton="0" quotePrefix="0" xfId="0"/>
    <xf numFmtId="172" fontId="28" fillId="0" borderId="0" pivotButton="0" quotePrefix="0" xfId="0"/>
    <xf numFmtId="0" fontId="30" fillId="0" borderId="0" applyAlignment="1" pivotButton="0" quotePrefix="0" xfId="0">
      <alignment vertical="bottom" wrapText="1"/>
    </xf>
    <xf numFmtId="173" fontId="28" fillId="0" borderId="0" pivotButton="0" quotePrefix="0" xfId="0"/>
    <xf numFmtId="174" fontId="28" fillId="0" borderId="0" pivotButton="0" quotePrefix="0" xfId="0"/>
    <xf numFmtId="0" fontId="24" fillId="0" borderId="0" applyAlignment="1" pivotButton="0" quotePrefix="0" xfId="0">
      <alignment vertical="top" wrapText="1"/>
    </xf>
    <xf numFmtId="0" fontId="31" fillId="0" borderId="0" pivotButton="0" quotePrefix="0" xfId="0"/>
    <xf numFmtId="0" fontId="32" fillId="0" borderId="0" pivotButton="0" quotePrefix="0" xfId="0"/>
    <xf numFmtId="175" fontId="0" fillId="0" borderId="0" pivotButton="0" quotePrefix="0" xfId="0"/>
    <xf numFmtId="164" fontId="22" fillId="0" borderId="0" pivotButton="0" quotePrefix="0" xfId="0"/>
    <xf numFmtId="175" fontId="22" fillId="0" borderId="0" pivotButton="0" quotePrefix="0" xfId="0"/>
    <xf numFmtId="164" fontId="0" fillId="0" borderId="0" pivotButton="0" quotePrefix="0" xfId="0"/>
    <xf numFmtId="0" fontId="19" fillId="8" borderId="0" applyAlignment="1" pivotButton="0" quotePrefix="0" xfId="0">
      <alignment vertical="center" wrapText="1"/>
    </xf>
    <xf numFmtId="176" fontId="0" fillId="0" borderId="0" pivotButton="0" quotePrefix="0" xfId="0"/>
    <xf numFmtId="177" fontId="22" fillId="0" borderId="0" pivotButton="0" quotePrefix="0" xfId="0"/>
    <xf numFmtId="0" fontId="33" fillId="0" borderId="0" pivotButton="0" quotePrefix="0" xfId="0"/>
    <xf numFmtId="175" fontId="33" fillId="0" borderId="8" pivotButton="0" quotePrefix="0" xfId="0"/>
    <xf numFmtId="175" fontId="0" fillId="0" borderId="0" applyAlignment="1" pivotButton="0" quotePrefix="0" xfId="0">
      <alignment vertical="top"/>
    </xf>
    <xf numFmtId="176" fontId="0" fillId="0" borderId="0" applyAlignment="1" pivotButton="0" quotePrefix="0" xfId="0">
      <alignment vertical="top"/>
    </xf>
    <xf numFmtId="177" fontId="22" fillId="0" borderId="0" applyAlignment="1" pivotButton="0" quotePrefix="0" xfId="0">
      <alignment vertical="top"/>
    </xf>
    <xf numFmtId="0" fontId="28" fillId="0" borderId="0" applyAlignment="1" pivotButton="0" quotePrefix="0" xfId="0">
      <alignment vertical="top"/>
    </xf>
  </cellXfs>
  <cellStyles count="1">
    <cellStyle name="Normal" xfId="0" builtinId="0"/>
  </cellStyles>
  <dxfs count="7">
    <dxf>
      <fill>
        <patternFill patternType="solid">
          <fgColor rgb="FFDFF0D8"/>
        </patternFill>
      </fill>
    </dxf>
    <dxf>
      <font>
        <b val="1"/>
        <color rgb="FFB03A2E"/>
      </font>
      <fill>
        <patternFill patternType="solid">
          <fgColor rgb="FFFBE3DF"/>
        </patternFill>
      </fill>
      <border>
        <left style="medium">
          <color rgb="FFD9534F"/>
        </left>
        <right style="medium">
          <color rgb="FFD9534F"/>
        </right>
        <top style="medium">
          <color rgb="FFD9534F"/>
        </top>
        <bottom style="medium">
          <color rgb="FFD9534F"/>
        </bottom>
      </border>
    </dxf>
    <dxf>
      <font>
        <color rgb="FF9E9E9E"/>
      </font>
    </dxf>
    <dxf>
      <font>
        <color rgb="FF93D48F"/>
      </font>
      <fill>
        <patternFill patternType="solid">
          <fgColor rgb="FF93D48F"/>
          <bgColor rgb="FF93D48F"/>
        </patternFill>
      </fill>
    </dxf>
    <dxf>
      <font>
        <color rgb="FFFCD98A"/>
      </font>
      <fill>
        <patternFill patternType="solid">
          <fgColor rgb="FFFCD98A"/>
          <bgColor rgb="FFFCD98A"/>
        </patternFill>
      </fill>
      <border>
        <left style="medium">
          <color rgb="FFF2B53A"/>
        </left>
        <right style="medium">
          <color rgb="FFF2B53A"/>
        </right>
        <top style="medium">
          <color rgb="FFF2B53A"/>
        </top>
        <bottom style="medium">
          <color rgb="FFF2B53A"/>
        </bottom>
      </border>
    </dxf>
    <dxf>
      <font>
        <color rgb="FF6B7280"/>
        <sz val="8"/>
      </font>
    </dxf>
    <dxf>
      <font>
        <color rgb="FFFCD98A"/>
      </font>
      <fill>
        <patternFill patternType="solid">
          <fgColor rgb="FFFCD98A"/>
          <bgColor rgb="FFFCD98A"/>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E8D5F5"/>
      <rgbColor rgb="FF808080"/>
      <rgbColor rgb="FF9999FF"/>
      <rgbColor rgb="FF7B2D8E"/>
      <rgbColor rgb="FFFFF9C4"/>
      <rgbColor rgb="FFF2F2F2"/>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CE4EC"/>
      <rgbColor rgb="FF3498DB"/>
      <rgbColor rgb="FF2ECC71"/>
      <rgbColor rgb="FF99CC00"/>
      <rgbColor rgb="FFF4B942"/>
      <rgbColor rgb="FFFF9900"/>
      <rgbColor rgb="FFE74C3C"/>
      <rgbColor rgb="FF666666"/>
      <rgbColor rgb="FF999999"/>
      <rgbColor rgb="FF1B2A4A"/>
      <rgbColor rgb="FF27AE60"/>
      <rgbColor rgb="FF003300"/>
      <rgbColor rgb="FF333300"/>
      <rgbColor rgb="FF993300"/>
      <rgbColor rgb="FF993366"/>
      <rgbColor rgb="FF2D4A7A"/>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styles" Target="styles.xml" Id="rId21"/><Relationship Type="http://schemas.openxmlformats.org/officeDocument/2006/relationships/theme" Target="theme/theme1.xml" Id="rId22"/></Relationships>
</file>

<file path=xl/charts/chart1.xml><?xml version="1.0" encoding="utf-8"?>
<chartSpace xmlns="http://schemas.openxmlformats.org/drawingml/2006/chart">
  <chart>
    <plotArea>
      <barChart>
        <barDir val="bar"/>
        <grouping val="stacked"/>
        <ser>
          <idx val="0"/>
          <order val="0"/>
          <tx>
            <strRef>
              <f>'Visibility Map'!B44</f>
            </strRef>
          </tx>
          <spPr>
            <a:solidFill xmlns:a="http://schemas.openxmlformats.org/drawingml/2006/main">
              <a:srgbClr val="DDDBD6"/>
            </a:solidFill>
            <a:ln xmlns:a="http://schemas.openxmlformats.org/drawingml/2006/main">
              <a:noFill/>
              <a:prstDash val="solid"/>
            </a:ln>
          </spPr>
          <dLbls>
            <numFmt formatCode="$#,##0,&quot;k&quot;;;"/>
            <dLblPos val="inBase"/>
            <showLegendKey val="0"/>
            <showVal val="1"/>
            <showCatName val="0"/>
            <showSerName val="0"/>
            <showPercent val="0"/>
          </dLbls>
          <cat>
            <numRef>
              <f>'Visibility Map'!$A$45:$A$50</f>
            </numRef>
          </cat>
          <val>
            <numRef>
              <f>'Visibility Map'!$B$45:$B$50</f>
            </numRef>
          </val>
        </ser>
        <ser>
          <idx val="1"/>
          <order val="1"/>
          <tx>
            <strRef>
              <f>'Visibility Map'!C44</f>
            </strRef>
          </tx>
          <spPr>
            <a:solidFill xmlns:a="http://schemas.openxmlformats.org/drawingml/2006/main">
              <a:srgbClr val="FCD98A"/>
            </a:solidFill>
            <a:ln xmlns:a="http://schemas.openxmlformats.org/drawingml/2006/main">
              <a:noFill/>
              <a:prstDash val="solid"/>
            </a:ln>
          </spPr>
          <dLbls>
            <numFmt formatCode="$#,##0,&quot;k unrecorded&quot;;;"/>
            <dLblPos val="inEnd"/>
            <showLegendKey val="0"/>
            <showVal val="1"/>
            <showCatName val="0"/>
            <showSerName val="0"/>
            <showPercent val="0"/>
          </dLbls>
          <cat>
            <numRef>
              <f>'Visibility Map'!$A$45:$A$50</f>
            </numRef>
          </cat>
          <val>
            <numRef>
              <f>'Visibility Map'!$C$45:$C$50</f>
            </numRef>
          </val>
        </ser>
        <gapWidth val="55"/>
        <overlap val="100"/>
        <axId val="10"/>
        <axId val="100"/>
      </barChart>
      <catAx>
        <axId val="10"/>
        <scaling>
          <orientation val="maxMin"/>
        </scaling>
        <delete val="0"/>
        <axPos val="l"/>
        <majorTickMark val="none"/>
        <minorTickMark val="none"/>
        <crossAx val="100"/>
        <lblOffset val="100"/>
      </catAx>
      <valAx>
        <axId val="100"/>
        <scaling>
          <orientation val="minMax"/>
        </scaling>
        <delete val="1"/>
        <axPos val="l"/>
        <majorTickMark val="none"/>
        <minorTickMark val="none"/>
        <crossAx val="10"/>
      </valAx>
    </plotArea>
    <legend>
      <legendPos val="t"/>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23</row>
      <rowOff>0</rowOff>
    </from>
    <ext cx="6840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8.xml.rels><Relationships xmlns="http://schemas.openxmlformats.org/package/2006/relationships"><Relationship Type="http://schemas.openxmlformats.org/officeDocument/2006/relationships/drawing" Target="/xl/drawings/drawing1.xml" Id="rId1"/></Relationships>
</file>

<file path=xl/worksheets/_rels/sheet19.xml.rels><Relationships xmlns="http://schemas.openxmlformats.org/package/2006/relationships"><Relationship Type="http://schemas.openxmlformats.org/officeDocument/2006/relationships/hyperlink" Target="https://doi.org/10.1509/jm.75.1.46" TargetMode="External" Id="rId1"/><Relationship Type="http://schemas.openxmlformats.org/officeDocument/2006/relationships/hyperlink" Target="https://doi.org/10.1287/msom.2015.0547" TargetMode="External" Id="rId2"/><Relationship Type="http://schemas.openxmlformats.org/officeDocument/2006/relationships/hyperlink" Target="https://doi.org/10.25300/misq/2018/13064" TargetMode="External" Id="rId3"/><Relationship Type="http://schemas.openxmlformats.org/officeDocument/2006/relationships/hyperlink" Target="https://doi.org/10.1016/j.ijresmar.2015.01.001" TargetMode="External" Id="rId4"/><Relationship Type="http://schemas.openxmlformats.org/officeDocument/2006/relationships/hyperlink" Target="https://doi.org/10.1016/j.indmarman.2015.05.010" TargetMode="External" Id="rId5"/><Relationship Type="http://schemas.openxmlformats.org/officeDocument/2006/relationships/hyperlink" Target="https://investors.atlassian.com" TargetMode="External" Id="rId6"/><Relationship Type="http://schemas.openxmlformats.org/officeDocument/2006/relationships/hyperlink" Target="https://doi.org/10.1509/jmkg.70.4.136" TargetMode="External" Id="rId7"/><Relationship Type="http://schemas.openxmlformats.org/officeDocument/2006/relationships/hyperlink" Target="https://doi.org/10.1509/jmkg.72.4.076" TargetMode="External" Id="rId8"/><Relationship Type="http://schemas.openxmlformats.org/officeDocument/2006/relationships/hyperlink" Target="https://www.benchmarkit.ai" TargetMode="External" Id="rId9"/><Relationship Type="http://schemas.openxmlformats.org/officeDocument/2006/relationships/hyperlink" Target="https://www.saas-capital.com" TargetMode="External" Id="rId10"/><Relationship Type="http://schemas.openxmlformats.org/officeDocument/2006/relationships/hyperlink" Target="https://doi.org/10.1509/jmr.13.0483" TargetMode="External" Id="rId11"/><Relationship Type="http://schemas.openxmlformats.org/officeDocument/2006/relationships/hyperlink" Target="https://www.bcg.com" TargetMode="External" Id="rId12"/><Relationship Type="http://schemas.openxmlformats.org/officeDocument/2006/relationships/hyperlink" Target="https://kpmg.com" TargetMode="External" Id="rId13"/></Relationships>
</file>

<file path=xl/worksheets/_rels/sheet20.xml.rels><Relationships xmlns="http://schemas.openxmlformats.org/package/2006/relationships"><Relationship Type="http://schemas.openxmlformats.org/officeDocument/2006/relationships/hyperlink" Target="#'Research &amp; Parameters'!A5" TargetMode="External" Id="rId1"/><Relationship Type="http://schemas.openxmlformats.org/officeDocument/2006/relationships/hyperlink" Target="#'Research &amp; Parameters'!A6" TargetMode="External" Id="rId2"/><Relationship Type="http://schemas.openxmlformats.org/officeDocument/2006/relationships/hyperlink" Target="#'Research &amp; Parameters'!A7" TargetMode="External" Id="rId3"/><Relationship Type="http://schemas.openxmlformats.org/officeDocument/2006/relationships/hyperlink" Target="#'Research &amp; Parameters'!A10" TargetMode="External" Id="rId4"/><Relationship Type="http://schemas.openxmlformats.org/officeDocument/2006/relationships/hyperlink" Target="#'Research &amp; Parameters'!A15" TargetMode="External" Id="rId5"/></Relationships>
</file>

<file path=xl/worksheets/sheet1.xml><?xml version="1.0" encoding="utf-8"?>
<worksheet xmlns="http://schemas.openxmlformats.org/spreadsheetml/2006/main">
  <sheetPr>
    <tabColor rgb="FF2ECC71"/>
    <outlinePr summaryBelow="1" summaryRight="1"/>
    <pageSetUpPr/>
  </sheetPr>
  <dimension ref="A1:F45"/>
  <sheetViews>
    <sheetView tabSelected="1" zoomScaleNormal="100" workbookViewId="0">
      <selection activeCell="A5" sqref="A5:F5"/>
    </sheetView>
  </sheetViews>
  <sheetFormatPr baseColWidth="8" defaultColWidth="8.7109375" defaultRowHeight="15"/>
  <cols>
    <col width="110" customWidth="1" min="1" max="1"/>
  </cols>
  <sheetData>
    <row r="1" ht="17.25" customHeight="1">
      <c r="A1" s="93" t="inlineStr">
        <is>
          <t>Customer-First Framework Calculator</t>
        </is>
      </c>
    </row>
    <row r="3" ht="15" customHeight="1">
      <c r="A3" s="90" t="n"/>
    </row>
    <row r="4" ht="15" customHeight="1">
      <c r="A4" s="90" t="inlineStr">
        <is>
          <t>Customer-First Partnership Framework — aligned to Customer Outcome Intelligence v1.0 (September 2026) — definitions at https://www.entwineapp.io/metrics.</t>
        </is>
      </c>
    </row>
    <row r="5" ht="15" customHeight="1">
      <c r="A5" s="90" t="n"/>
    </row>
    <row r="6" ht="15" customHeight="1">
      <c r="A6" s="91" t="inlineStr">
        <is>
          <t>SOURCE DATA WORKSHEETS (blue tabs — edit these first):</t>
        </is>
      </c>
    </row>
    <row r="7" ht="15" customHeight="1">
      <c r="A7" s="92" t="inlineStr">
        <is>
          <t xml:space="preserve">  • Partners — Partner directory: name, type (Delivery, Training, Managed Services, Software/Integration, Advisory/Consulting), tier.</t>
        </is>
      </c>
    </row>
    <row r="8" ht="15" customHeight="1">
      <c r="A8" s="92" t="inlineStr">
        <is>
          <t xml:space="preserve">  • Customers — Customer master data with ARR and partner assignments.</t>
        </is>
      </c>
    </row>
    <row r="9" ht="15" customHeight="1">
      <c r="A9" s="92" t="inlineStr">
        <is>
          <t xml:space="preserve">  • Opportunities — Raw deal pipeline: partner-sourced vs non-partner, close dates, win/loss. Feeds CDE.</t>
        </is>
      </c>
    </row>
    <row r="10" ht="15" customHeight="1">
      <c r="A10" s="92" t="inlineStr">
        <is>
          <t xml:space="preserve">  • Engagements — Every partner engagement event across the lifecycle. Feeds CSI scores.</t>
        </is>
      </c>
    </row>
    <row r="11" ht="15" customHeight="1">
      <c r="A11" s="92" t="inlineStr">
        <is>
          <t xml:space="preserve">  • Survey Results — Annual NPS and satisfaction surveys with capability ratings. Feeds CSI (Advocacy) &amp; ECS.</t>
        </is>
      </c>
    </row>
    <row r="12" ht="15" customHeight="1">
      <c r="A12" s="92" t="inlineStr">
        <is>
          <t xml:space="preserve">  • Support Tickets — Ticket log with severity, resolution time, CSAT. Feeds CSI (Retention) &amp; ECS (Support).</t>
        </is>
      </c>
    </row>
    <row r="13" ht="15" customHeight="1">
      <c r="A13" s="92" t="inlineStr">
        <is>
          <t xml:space="preserve">  • Adoption Metrics — Monthly product usage: active users, feature adoption, sessions. Feeds CSI (Adoption) &amp; ECS.</t>
        </is>
      </c>
    </row>
    <row r="14" ht="15" customHeight="1">
      <c r="A14" s="90" t="n"/>
    </row>
    <row r="15" ht="15" customHeight="1">
      <c r="A15" s="91" t="inlineStr">
        <is>
          <t>CALCULATOR WORKSHEETS (gold tabs — scoring):</t>
        </is>
      </c>
    </row>
    <row r="16" ht="15" customHeight="1">
      <c r="A16" s="92" t="inlineStr">
        <is>
          <t xml:space="preserve">  • CDE Calculator — Discovery efficiency scores derived from Opportunities data.</t>
        </is>
      </c>
    </row>
    <row r="17" ht="15" customHeight="1">
      <c r="A17" s="92" t="inlineStr">
        <is>
          <t xml:space="preserve">  • CSI Calculator — the customer's own 0–10 from five components (adoption, engagement quality, advocacy, outcomes, sentiment). Withheld when too thin.</t>
        </is>
      </c>
    </row>
    <row r="18" ht="15" customHeight="1">
      <c r="A18" s="92" t="inlineStr">
        <is>
          <t xml:space="preserve">  • ECS Calculator — Ecosystem completeness scores derived from Surveys and Adoption.</t>
        </is>
      </c>
    </row>
    <row r="19" ht="15" customHeight="1">
      <c r="A19" s="90" t="n"/>
    </row>
    <row r="20" ht="15" customHeight="1">
      <c r="A20" s="91" t="inlineStr">
        <is>
          <t>OUTPUT WORKSHEETS (green/red tabs — auto-calculated):</t>
        </is>
      </c>
    </row>
    <row r="21" ht="15" customHeight="1">
      <c r="A21" s="92" t="inlineStr">
        <is>
          <t xml:space="preserve">  • Combined Dashboard — Unified customer view with CDE, CSI, ECS, estimated LTV, and status.</t>
        </is>
      </c>
    </row>
    <row r="22" ht="15" customHeight="1">
      <c r="A22" s="92" t="inlineStr">
        <is>
          <t xml:space="preserve">  • Partner Value Attribution — dollar attribution per partner, plus the 15-point lifecycle layer (Acquisition ×1 · Onboarding ×2 · Adoption ×3 · Retention ×4 · Expansion ×3 · Advocacy ×2).</t>
        </is>
      </c>
    </row>
    <row r="23" ht="15" customHeight="1">
      <c r="A23" s="92" t="inlineStr">
        <is>
          <t xml:space="preserve">  • Value Impact Model — What-if scenario: LTV uplift if underperforming accounts reach 'Healthy'.</t>
        </is>
      </c>
    </row>
    <row r="24" ht="15" customHeight="1">
      <c r="A24" s="90" t="n"/>
    </row>
    <row r="25" ht="15" customHeight="1">
      <c r="A25" s="91" t="inlineStr">
        <is>
          <t>HOW TO USE:</t>
        </is>
      </c>
    </row>
    <row r="26" ht="15" customHeight="1">
      <c r="A26" s="92" t="inlineStr">
        <is>
          <t>→ Step 1: Populate the 5 source data sheets with your actual data (or adjust the sample data).</t>
        </is>
      </c>
    </row>
    <row r="27" ht="15" customHeight="1">
      <c r="A27" s="92" t="inlineStr">
        <is>
          <t>→ Step 2: Review and adjust scores in the 3 Calculator sheets based on the source data patterns.</t>
        </is>
      </c>
    </row>
    <row r="28" ht="15" customHeight="1">
      <c r="A28" s="92" t="inlineStr">
        <is>
          <t>→ Step 3: The Dashboard, Partner Value Attribution and Impact Model update automatically.</t>
        </is>
      </c>
    </row>
    <row r="29" ht="15" customHeight="1">
      <c r="A29" s="92" t="inlineStr">
        <is>
          <t>→ Step 4: Use the Value Impact Model to build a business case for ecosystem investment.</t>
        </is>
      </c>
    </row>
    <row r="30" ht="15" customHeight="1">
      <c r="A30" s="90" t="n"/>
    </row>
    <row r="31" ht="15" customHeight="1">
      <c r="A31" s="91" t="inlineStr">
        <is>
          <t>COLOUR CODING:</t>
        </is>
      </c>
    </row>
    <row r="32" ht="15" customHeight="1">
      <c r="A32" s="90" t="inlineStr">
        <is>
          <t xml:space="preserve">  Blue text = Editable input (change these)</t>
        </is>
      </c>
    </row>
    <row r="33" ht="15" customHeight="1">
      <c r="A33" s="90" t="inlineStr">
        <is>
          <t xml:space="preserve">  Black text = Formula (auto-calculated — do not overwrite)</t>
        </is>
      </c>
    </row>
    <row r="34" ht="15" customHeight="1">
      <c r="A34" s="90" t="inlineStr">
        <is>
          <t xml:space="preserve">  Blue tab = Source data   |   Gold tab = Calculators   |   Green tab = Dashboards   |   Red tab = Impact model</t>
        </is>
      </c>
    </row>
    <row r="36">
      <c r="A36" s="91" t="inlineStr">
        <is>
          <t>VERSION</t>
        </is>
      </c>
    </row>
    <row r="37">
      <c r="A37" s="90" t="inlineStr">
        <is>
          <t xml:space="preserve">  Aligned to Customer Outcome Intelligence v1.0 on 18 September 2026. Definitions, inputs and withholding rules: https://www.entwineapp.io/metrics</t>
        </is>
      </c>
    </row>
    <row r="38">
      <c r="A38" s="90" t="inlineStr">
        <is>
          <t xml:space="preserve">  Earlier copies of this workbook (May 2026) showed a 0–150 lifecycle-weighted figure under the CSI heading. That figure is the attribution layer, not CSI; it now lives on the Partner Value Attribution sheet.</t>
        </is>
      </c>
    </row>
    <row r="39">
      <c r="A39" s="90" t="inlineStr">
        <is>
          <t xml:space="preserve">  CDE is now a ratio of medians (it was a ratio of averages). TTI and ECS are unchanged.</t>
        </is>
      </c>
    </row>
    <row r="41">
      <c r="A41" s="91" t="inlineStr">
        <is>
          <t>ADDED OCTOBER 2026</t>
        </is>
      </c>
    </row>
    <row r="42">
      <c r="A42" s="90" t="inlineStr">
        <is>
          <t xml:space="preserve">  • Engagements — new Source of record column: which system holds this partner involvement (CRM, PRM, CS platform, PSA, Support, Slack Connect) or Nowhere.</t>
        </is>
      </c>
    </row>
    <row r="43">
      <c r="A43" s="90" t="inlineStr">
        <is>
          <t xml:space="preserve">  • Visibility Map — customers by lifecycle stage, showing where a partner is recorded, involved but unrecorded, or absent; with ARR by stage beside it.</t>
        </is>
      </c>
    </row>
    <row r="44">
      <c r="A44" s="90" t="inlineStr">
        <is>
          <t xml:space="preserve">  • Research &amp; Parameters — published findings by stage with sample, design and setting, the gaps where no approved source exists, and an empty column for your own assumptions.</t>
        </is>
      </c>
    </row>
    <row r="45">
      <c r="A45" s="90" t="inlineStr">
        <is>
          <t xml:space="preserve">  • Scenario — the research effects applied to your numbers, beside your own effect (0 by default), with expansion against the benchmark.</t>
        </is>
      </c>
    </row>
  </sheetData>
  <mergeCells count="41">
    <mergeCell ref="A41:F41"/>
    <mergeCell ref="A16:F16"/>
    <mergeCell ref="A37:F37"/>
    <mergeCell ref="A27:F27"/>
    <mergeCell ref="A18:F18"/>
    <mergeCell ref="A12:F12"/>
    <mergeCell ref="A3:F3"/>
    <mergeCell ref="A26:F26"/>
    <mergeCell ref="A21:F21"/>
    <mergeCell ref="A33:F33"/>
    <mergeCell ref="A42:F42"/>
    <mergeCell ref="A14:F14"/>
    <mergeCell ref="A5:F5"/>
    <mergeCell ref="A23:F23"/>
    <mergeCell ref="A32:F32"/>
    <mergeCell ref="A8:F8"/>
    <mergeCell ref="A22:F22"/>
    <mergeCell ref="A17:F17"/>
    <mergeCell ref="A4:F4"/>
    <mergeCell ref="A20:F20"/>
    <mergeCell ref="A29:F29"/>
    <mergeCell ref="A43:F43"/>
    <mergeCell ref="A38:F38"/>
    <mergeCell ref="A10:F10"/>
    <mergeCell ref="A28:F28"/>
    <mergeCell ref="A19:F19"/>
    <mergeCell ref="A13:F13"/>
    <mergeCell ref="A44:F44"/>
    <mergeCell ref="A9:F9"/>
    <mergeCell ref="A31:F31"/>
    <mergeCell ref="A34:F34"/>
    <mergeCell ref="A30:F30"/>
    <mergeCell ref="A39:F39"/>
    <mergeCell ref="A15:F15"/>
    <mergeCell ref="A24:F24"/>
    <mergeCell ref="A11:F11"/>
    <mergeCell ref="A36:F36"/>
    <mergeCell ref="A45:F45"/>
    <mergeCell ref="A6:F6"/>
    <mergeCell ref="A7:F7"/>
    <mergeCell ref="A25:F25"/>
  </mergeCells>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tabColor rgb="FFE74C3C"/>
    <outlinePr summaryBelow="1" summaryRight="1"/>
    <pageSetUpPr/>
  </sheetPr>
  <dimension ref="A1:K29"/>
  <sheetViews>
    <sheetView zoomScaleNormal="100" workbookViewId="0">
      <selection activeCell="H18" sqref="H18"/>
    </sheetView>
  </sheetViews>
  <sheetFormatPr baseColWidth="8" defaultColWidth="8.7109375" defaultRowHeight="15"/>
  <cols>
    <col width="15.140625" bestFit="1" customWidth="1" min="1" max="1"/>
    <col width="22" customWidth="1" min="2" max="2"/>
    <col width="21.140625" bestFit="1" customWidth="1" min="3" max="3"/>
    <col width="26.85546875" bestFit="1" customWidth="1" min="4" max="4"/>
    <col width="23" customWidth="1" min="5" max="5"/>
    <col width="19.42578125" customWidth="1" min="6" max="6"/>
    <col width="20.85546875" customWidth="1" min="7" max="7"/>
    <col width="22.28515625" customWidth="1" min="8" max="8"/>
    <col width="21.5703125" customWidth="1" min="9" max="9"/>
    <col width="19.7109375" customWidth="1" min="10" max="10"/>
    <col width="20.28515625" customWidth="1" min="11" max="11"/>
  </cols>
  <sheetData>
    <row r="1" ht="17.25" customHeight="1">
      <c r="A1" s="93" t="inlineStr">
        <is>
          <t>The Measurement Gap: Traditional vs Customer-First View</t>
        </is>
      </c>
    </row>
    <row r="2" ht="15" customHeight="1">
      <c r="A2" s="94" t="inlineStr">
        <is>
          <t>Side-by-side comparison showing what traditional metrics report vs what customer-first metrics reveal. Based on Part 3: organisations instrument the 20-30% of value at point of sale and ignore the 70-80% that happens after.</t>
        </is>
      </c>
    </row>
    <row r="3"/>
    <row r="4" ht="15" customHeight="1">
      <c r="A4" s="91" t="inlineStr">
        <is>
          <t>A. Partner Rankings: Traditional vs Customer-First</t>
        </is>
      </c>
    </row>
    <row r="5" ht="51.75" customHeight="1">
      <c r="A5" s="5" t="inlineStr">
        <is>
          <t>Partner ID</t>
        </is>
      </c>
      <c r="B5" s="5" t="inlineStr">
        <is>
          <t>Partner Name</t>
        </is>
      </c>
      <c r="C5" s="5" t="inlineStr">
        <is>
          <t>Partner Type</t>
        </is>
      </c>
      <c r="D5" s="5" t="inlineStr">
        <is>
          <t>TRADITIONAL: Deals Sourced</t>
        </is>
      </c>
      <c r="E5" s="5" t="inlineStr">
        <is>
          <t>TRADITIONAL: Pipeline Revenue ($)</t>
        </is>
      </c>
      <c r="F5" s="5" t="inlineStr">
        <is>
          <t>TRADITIONAL: Rank</t>
        </is>
      </c>
      <c r="G5" s="5" t="inlineStr">
        <is>
          <t>CUSTOMER-FIRST: Avg CSI (0–10)</t>
        </is>
      </c>
      <c r="H5" s="5" t="inlineStr">
        <is>
          <t>CUSTOMER-FIRST: Avg Customer ECS</t>
        </is>
      </c>
      <c r="I5" s="5" t="inlineStr">
        <is>
          <t>CUSTOMER-FIRST: Customers Retained</t>
        </is>
      </c>
      <c r="J5" s="5" t="inlineStr">
        <is>
          <t>CUSTOMER-FIRST: Rank</t>
        </is>
      </c>
      <c r="K5" s="5" t="inlineStr">
        <is>
          <t>Ranking Shift</t>
        </is>
      </c>
    </row>
    <row r="6" ht="15" customHeight="1">
      <c r="A6" s="14" t="inlineStr">
        <is>
          <t>P001</t>
        </is>
      </c>
      <c r="B6" s="14" t="inlineStr">
        <is>
          <t>Apex Consulting</t>
        </is>
      </c>
      <c r="C6" s="14" t="inlineStr">
        <is>
          <t>Advisory / Consulting</t>
        </is>
      </c>
      <c r="D6" s="53">
        <f>COUNTIFS(Opportunities!E$5:E$38,A6,Opportunities!M$5:M$38,TRUE())</f>
        <v/>
      </c>
      <c r="E6" s="65">
        <f>SUMIFS(Opportunities!L$5:L$38,Opportunities!E$5:E$38,A6,Opportunities!M$5:M$38,TRUE())</f>
        <v/>
      </c>
      <c r="F6" s="9">
        <f>RANK(D6,D$6:D$10,0)</f>
        <v/>
      </c>
      <c r="G6" s="53">
        <f>IFERROR((SUMIF('Combined Dashboard'!C$5:C$16,A6,'Combined Dashboard'!I$5:I$16)+SUMIF('Combined Dashboard'!E$5:E$16,A6,'Combined Dashboard'!I$5:I$16))/(COUNTIF('Combined Dashboard'!C$5:C$16,A6)+COUNTIF('Combined Dashboard'!E$5:E$16,A6)),0)</f>
        <v/>
      </c>
      <c r="H6" s="10">
        <f>IFERROR((SUMIF('Combined Dashboard'!C$5:C$16,A6,'Combined Dashboard'!K$5:K$16)+SUMIF('Combined Dashboard'!E$5:E$16,A6,'Combined Dashboard'!K$5:K$16))/(COUNTIF('Combined Dashboard'!C$5:C$16,A6)+COUNTIF('Combined Dashboard'!E$5:E$16,A6)),0)</f>
        <v/>
      </c>
      <c r="I6" s="9">
        <f>COUNTIFS('Combined Dashboard'!C$5:C$16,A6,'Combined Dashboard'!O$5:O$16,"&lt;&gt;Critical")+COUNTIFS('Combined Dashboard'!E$5:E$16,A6,'Combined Dashboard'!O$5:O$16,"&lt;&gt;Critical")</f>
        <v/>
      </c>
      <c r="J6" s="9">
        <f>RANK(G6,G$6:G$10,0)</f>
        <v/>
      </c>
      <c r="K6" s="80">
        <f>F6-J6</f>
        <v/>
      </c>
    </row>
    <row r="7" ht="15" customHeight="1">
      <c r="A7" s="14" t="inlineStr">
        <is>
          <t>P007</t>
        </is>
      </c>
      <c r="B7" s="14" t="inlineStr">
        <is>
          <t>PrimeAdvisory Group</t>
        </is>
      </c>
      <c r="C7" s="14" t="inlineStr">
        <is>
          <t>Advisory / Consulting</t>
        </is>
      </c>
      <c r="D7" s="53">
        <f>COUNTIFS(Opportunities!E$5:E$38,A7,Opportunities!M$5:M$38,TRUE())</f>
        <v/>
      </c>
      <c r="E7" s="65">
        <f>SUMIFS(Opportunities!L$5:L$38,Opportunities!E$5:E$38,A7,Opportunities!M$5:M$38,TRUE())</f>
        <v/>
      </c>
      <c r="F7" s="9">
        <f>RANK(D7,D$6:D$10,0)</f>
        <v/>
      </c>
      <c r="G7" s="53">
        <f>IFERROR((SUMIF('Combined Dashboard'!C$5:C$16,A7,'Combined Dashboard'!I$5:I$16)+SUMIF('Combined Dashboard'!E$5:E$16,A7,'Combined Dashboard'!I$5:I$16))/(COUNTIF('Combined Dashboard'!C$5:C$16,A7)+COUNTIF('Combined Dashboard'!E$5:E$16,A7)),0)</f>
        <v/>
      </c>
      <c r="H7" s="10">
        <f>IFERROR((SUMIF('Combined Dashboard'!C$5:C$16,A7,'Combined Dashboard'!K$5:K$16)+SUMIF('Combined Dashboard'!E$5:E$16,A7,'Combined Dashboard'!K$5:K$16))/(COUNTIF('Combined Dashboard'!C$5:C$16,A7)+COUNTIF('Combined Dashboard'!E$5:E$16,A7)),0)</f>
        <v/>
      </c>
      <c r="I7" s="9">
        <f>COUNTIFS('Combined Dashboard'!C$5:C$16,A7,'Combined Dashboard'!O$5:O$16,"&lt;&gt;Critical")+COUNTIFS('Combined Dashboard'!E$5:E$16,A7,'Combined Dashboard'!O$5:O$16,"&lt;&gt;Critical")</f>
        <v/>
      </c>
      <c r="J7" s="9">
        <f>RANK(G7,G$6:G$10,0)</f>
        <v/>
      </c>
      <c r="K7" s="80">
        <f>F7-J7</f>
        <v/>
      </c>
    </row>
    <row r="8" ht="15" customHeight="1">
      <c r="A8" s="14" t="inlineStr">
        <is>
          <t>P011</t>
        </is>
      </c>
      <c r="B8" s="14" t="inlineStr">
        <is>
          <t>TrueNorth Advisory</t>
        </is>
      </c>
      <c r="C8" s="14" t="inlineStr">
        <is>
          <t>Advisory / Consulting</t>
        </is>
      </c>
      <c r="D8" s="53">
        <f>COUNTIFS(Opportunities!E$5:E$38,A8,Opportunities!M$5:M$38,TRUE())</f>
        <v/>
      </c>
      <c r="E8" s="65">
        <f>SUMIFS(Opportunities!L$5:L$38,Opportunities!E$5:E$38,A8,Opportunities!M$5:M$38,TRUE())</f>
        <v/>
      </c>
      <c r="F8" s="9">
        <f>RANK(D8,D$6:D$10,0)</f>
        <v/>
      </c>
      <c r="G8" s="53">
        <f>IFERROR((SUMIF('Combined Dashboard'!C$5:C$16,A8,'Combined Dashboard'!I$5:I$16)+SUMIF('Combined Dashboard'!E$5:E$16,A8,'Combined Dashboard'!I$5:I$16))/(COUNTIF('Combined Dashboard'!C$5:C$16,A8)+COUNTIF('Combined Dashboard'!E$5:E$16,A8)),0)</f>
        <v/>
      </c>
      <c r="H8" s="10">
        <f>IFERROR((SUMIF('Combined Dashboard'!C$5:C$16,A8,'Combined Dashboard'!K$5:K$16)+SUMIF('Combined Dashboard'!E$5:E$16,A8,'Combined Dashboard'!K$5:K$16))/(COUNTIF('Combined Dashboard'!C$5:C$16,A8)+COUNTIF('Combined Dashboard'!E$5:E$16,A8)),0)</f>
        <v/>
      </c>
      <c r="I8" s="9">
        <f>COUNTIFS('Combined Dashboard'!C$5:C$16,A8,'Combined Dashboard'!O$5:O$16,"&lt;&gt;Critical")+COUNTIFS('Combined Dashboard'!E$5:E$16,A8,'Combined Dashboard'!O$5:O$16,"&lt;&gt;Critical")</f>
        <v/>
      </c>
      <c r="J8" s="9">
        <f>RANK(G8,G$6:G$10,0)</f>
        <v/>
      </c>
      <c r="K8" s="80">
        <f>F8-J8</f>
        <v/>
      </c>
    </row>
    <row r="9" ht="15" customHeight="1">
      <c r="A9" s="14" t="inlineStr">
        <is>
          <t>P002</t>
        </is>
      </c>
      <c r="B9" s="14" t="inlineStr">
        <is>
          <t>CloudBridge Solutions</t>
        </is>
      </c>
      <c r="C9" s="14" t="inlineStr">
        <is>
          <t>Software / Integration</t>
        </is>
      </c>
      <c r="D9" s="53">
        <f>COUNTIFS(Opportunities!E$5:E$38,A9,Opportunities!M$5:M$38,TRUE())</f>
        <v/>
      </c>
      <c r="E9" s="65">
        <f>SUMIFS(Opportunities!L$5:L$38,Opportunities!E$5:E$38,A9,Opportunities!M$5:M$38,TRUE())</f>
        <v/>
      </c>
      <c r="F9" s="9">
        <f>RANK(D9,D$6:D$10,0)</f>
        <v/>
      </c>
      <c r="G9" s="53">
        <f>IFERROR((SUMIF('Combined Dashboard'!C$5:C$16,A9,'Combined Dashboard'!I$5:I$16)+SUMIF('Combined Dashboard'!E$5:E$16,A9,'Combined Dashboard'!I$5:I$16))/(COUNTIF('Combined Dashboard'!C$5:C$16,A9)+COUNTIF('Combined Dashboard'!E$5:E$16,A9)),0)</f>
        <v/>
      </c>
      <c r="H9" s="10">
        <f>IFERROR((SUMIF('Combined Dashboard'!C$5:C$16,A9,'Combined Dashboard'!K$5:K$16)+SUMIF('Combined Dashboard'!E$5:E$16,A9,'Combined Dashboard'!K$5:K$16))/(COUNTIF('Combined Dashboard'!C$5:C$16,A9)+COUNTIF('Combined Dashboard'!E$5:E$16,A9)),0)</f>
        <v/>
      </c>
      <c r="I9" s="9">
        <f>COUNTIFS('Combined Dashboard'!C$5:C$16,A9,'Combined Dashboard'!O$5:O$16,"&lt;&gt;Critical")+COUNTIFS('Combined Dashboard'!E$5:E$16,A9,'Combined Dashboard'!O$5:O$16,"&lt;&gt;Critical")</f>
        <v/>
      </c>
      <c r="J9" s="9">
        <f>RANK(G9,G$6:G$10,0)</f>
        <v/>
      </c>
      <c r="K9" s="80">
        <f>F9-J9</f>
        <v/>
      </c>
    </row>
    <row r="10" ht="15" customHeight="1">
      <c r="A10" s="14" t="inlineStr">
        <is>
          <t>P004</t>
        </is>
      </c>
      <c r="B10" s="14" t="inlineStr">
        <is>
          <t>EduTech Partners</t>
        </is>
      </c>
      <c r="C10" s="14" t="inlineStr">
        <is>
          <t>Training</t>
        </is>
      </c>
      <c r="D10" s="53">
        <f>COUNTIFS(Opportunities!E$5:E$38,A10,Opportunities!M$5:M$38,TRUE())</f>
        <v/>
      </c>
      <c r="E10" s="65">
        <f>SUMIFS(Opportunities!L$5:L$38,Opportunities!E$5:E$38,A10,Opportunities!M$5:M$38,TRUE())</f>
        <v/>
      </c>
      <c r="F10" s="9">
        <f>RANK(D10,D$6:D$10,0)</f>
        <v/>
      </c>
      <c r="G10" s="53">
        <f>IFERROR((SUMIF('Combined Dashboard'!C$5:C$16,A10,'Combined Dashboard'!I$5:I$16)+SUMIF('Combined Dashboard'!E$5:E$16,A10,'Combined Dashboard'!I$5:I$16))/(COUNTIF('Combined Dashboard'!C$5:C$16,A10)+COUNTIF('Combined Dashboard'!E$5:E$16,A10)),0)</f>
        <v/>
      </c>
      <c r="H10" s="10">
        <f>IFERROR((SUMIF('Combined Dashboard'!C$5:C$16,A10,'Combined Dashboard'!K$5:K$16)+SUMIF('Combined Dashboard'!E$5:E$16,A10,'Combined Dashboard'!K$5:K$16))/(COUNTIF('Combined Dashboard'!C$5:C$16,A10)+COUNTIF('Combined Dashboard'!E$5:E$16,A10)),0)</f>
        <v/>
      </c>
      <c r="I10" s="9">
        <f>COUNTIFS('Combined Dashboard'!C$5:C$16,A10,'Combined Dashboard'!O$5:O$16,"&lt;&gt;Critical")+COUNTIFS('Combined Dashboard'!E$5:E$16,A10,'Combined Dashboard'!O$5:O$16,"&lt;&gt;Critical")</f>
        <v/>
      </c>
      <c r="J10" s="9">
        <f>RANK(G10,G$6:G$10,0)</f>
        <v/>
      </c>
      <c r="K10" s="80">
        <f>F10-J10</f>
        <v/>
      </c>
    </row>
    <row r="11" ht="26.25" customHeight="1">
      <c r="A11" s="73" t="inlineStr">
        <is>
          <t>P009</t>
        </is>
      </c>
      <c r="B11" s="73" t="inlineStr">
        <is>
          <t>Northstar Advisory</t>
        </is>
      </c>
      <c r="C11" s="73" t="inlineStr">
        <is>
          <t>Embedded Advisor</t>
        </is>
      </c>
      <c r="D11" s="74">
        <f>COUNTIFS(Opportunities!E$5:E$38,A11,Opportunities!M$5:M$38,TRUE())</f>
        <v/>
      </c>
      <c r="E11" s="75">
        <f>SUMIFS(Opportunities!L$5:L$38,Opportunities!E$5:E$38,A11,Opportunities!M$5:M$38,TRUE())</f>
        <v/>
      </c>
      <c r="F11" s="81" t="inlineStr">
        <is>
          <t>N/A — 0 deals</t>
        </is>
      </c>
      <c r="G11" s="82">
        <f>IFERROR(AVERAGEIF('Combined Dashboard'!E$5:E$16,A11,'Combined Dashboard'!I$5:I$16),0)</f>
        <v/>
      </c>
      <c r="H11" s="83">
        <f>IFERROR(AVERAGEIF('Combined Dashboard'!E$5:E$16,A11,'Combined Dashboard'!K$5:K$16),0)</f>
        <v/>
      </c>
      <c r="I11" s="84">
        <f>COUNTIFS('Combined Dashboard'!E$5:E$16,A11,'Combined Dashboard'!O$5:O$16,"&lt;&gt;Critical")</f>
        <v/>
      </c>
      <c r="J11" s="84">
        <f>IF(G11&gt;0,"#"&amp;RANK(G11,G$6:G$11,0)&amp;" by CSI","No data")</f>
        <v/>
      </c>
      <c r="K11" s="84">
        <f>"$0 pipeline → "&amp;TEXT(G11,"0.0")&amp;" CSI across "&amp;I11&amp;" accounts"</f>
        <v/>
      </c>
    </row>
    <row r="12"/>
    <row r="13" ht="15" customHeight="1">
      <c r="A13" s="91" t="inlineStr">
        <is>
          <t>B. What Traditional Metrics Miss</t>
        </is>
      </c>
    </row>
    <row r="14" ht="26.25" customHeight="1">
      <c r="A14" s="5" t="inlineStr">
        <is>
          <t>Metric</t>
        </is>
      </c>
      <c r="B14" s="5" t="inlineStr">
        <is>
          <t>Measured Today?</t>
        </is>
      </c>
      <c r="C14" s="5" t="inlineStr">
        <is>
          <t>Why It Matters</t>
        </is>
      </c>
      <c r="D14" s="5" t="inlineStr">
        <is>
          <t>What Source Data Shows</t>
        </is>
      </c>
    </row>
    <row r="15" ht="34.5" customHeight="1">
      <c r="A15" s="85" t="inlineStr">
        <is>
          <t>Pipeline sourced by partner</t>
        </is>
      </c>
      <c r="B15" s="86" t="inlineStr">
        <is>
          <t>Yes</t>
        </is>
      </c>
      <c r="C15" s="85" t="inlineStr">
        <is>
          <t>Shows acquisition impact</t>
        </is>
      </c>
      <c r="D15" s="87">
        <f>COUNTIF(Opportunities!D5:D38,"Partner Referral")&amp;" partner-sourced deals tracked"</f>
        <v/>
      </c>
    </row>
    <row r="16" ht="34.5" customHeight="1">
      <c r="A16" s="85" t="inlineStr">
        <is>
          <t>Deals influenced by partner</t>
        </is>
      </c>
      <c r="B16" s="86" t="inlineStr">
        <is>
          <t>Yes</t>
        </is>
      </c>
      <c r="C16" s="85" t="inlineStr">
        <is>
          <t>Captures role in closing</t>
        </is>
      </c>
      <c r="D16" s="87">
        <f>SUMIF(Opportunities!D5:D38,"Partner Referral",Opportunities!L5:L38)&amp;" total partner pipeline"</f>
        <v/>
      </c>
    </row>
    <row r="17" ht="34.5" customHeight="1">
      <c r="A17" s="85" t="inlineStr">
        <is>
          <t>Time-to-value by partner</t>
        </is>
      </c>
      <c r="B17" s="88" t="inlineStr">
        <is>
          <t>Rarely</t>
        </is>
      </c>
      <c r="C17" s="85" t="inlineStr">
        <is>
          <t>Reflects implementation quality</t>
        </is>
      </c>
      <c r="D17" s="87">
        <f>ROUND(AVERAGEIF(Engagements!F5:F106,"Onboarding",Engagements!I5:I106),1)&amp;"/10 avg onboarding quality — hidden from dashboards"</f>
        <v/>
      </c>
    </row>
    <row r="18" ht="34.5" customHeight="1">
      <c r="A18" s="85" t="inlineStr">
        <is>
          <t>Product adoption by partner</t>
        </is>
      </c>
      <c r="B18" s="88" t="inlineStr">
        <is>
          <t>Rarely</t>
        </is>
      </c>
      <c r="C18" s="85" t="inlineStr">
        <is>
          <t>Indicates ongoing engagement depth</t>
        </is>
      </c>
      <c r="D18" s="87">
        <f>ROUND(AVERAGE('Adoption Metrics'!F5:F148)*100,0)&amp;"% avg adoption rate — not linked to partners"</f>
        <v/>
      </c>
    </row>
    <row r="19" ht="34.5" customHeight="1">
      <c r="A19" s="85" t="inlineStr">
        <is>
          <t>Retention rate by partner</t>
        </is>
      </c>
      <c r="B19" s="89" t="inlineStr">
        <is>
          <t>Almost never</t>
        </is>
      </c>
      <c r="C19" s="85" t="inlineStr">
        <is>
          <t>Shows impact on churn</t>
        </is>
      </c>
      <c r="D19" s="87">
        <f>COUNTIF(Customers!I5:I16,"Active")&amp;" of 12 customers retained — partner role invisible"</f>
        <v/>
      </c>
    </row>
    <row r="20" ht="34.5" customHeight="1">
      <c r="A20" s="85" t="inlineStr">
        <is>
          <t>Expansion rate by partner</t>
        </is>
      </c>
      <c r="B20" s="89" t="inlineStr">
        <is>
          <t>Almost never</t>
        </is>
      </c>
      <c r="C20" s="85" t="inlineStr">
        <is>
          <t>Reveals who drives growth</t>
        </is>
      </c>
      <c r="D20" s="87">
        <f>COUNTIFS(Engagements!F5:F106,"Expansion")&amp;" expansion engagements — credit goes to account teams"</f>
        <v/>
      </c>
    </row>
    <row r="21" ht="34.5" customHeight="1">
      <c r="A21" s="85" t="inlineStr">
        <is>
          <t>NPS by partner</t>
        </is>
      </c>
      <c r="B21" s="89" t="inlineStr">
        <is>
          <t>Almost never</t>
        </is>
      </c>
      <c r="C21" s="85" t="inlineStr">
        <is>
          <t>Speaks to customer experience</t>
        </is>
      </c>
      <c r="D21" s="87">
        <f>ROUND(AVERAGE('Survey Results'!K5:K52),1)&amp;"/10 avg NPS — never broken down by partner"</f>
        <v/>
      </c>
    </row>
    <row r="22" ht="34.5" customHeight="1">
      <c r="A22" s="85" t="inlineStr">
        <is>
          <t>Support tickets by partner</t>
        </is>
      </c>
      <c r="B22" s="89" t="inlineStr">
        <is>
          <t>Never</t>
        </is>
      </c>
      <c r="C22" s="85" t="inlineStr">
        <is>
          <t>Flags poor implementations</t>
        </is>
      </c>
      <c r="D22" s="87">
        <f>COUNTA('Support Tickets'!A5:A74)&amp;" tickets — support systems isolated from partnerships"</f>
        <v/>
      </c>
    </row>
    <row r="23" ht="34.5" customHeight="1">
      <c r="A23" s="85" t="inlineStr">
        <is>
          <t>Advocacy rate by partner</t>
        </is>
      </c>
      <c r="B23" s="89" t="inlineStr">
        <is>
          <t>Never</t>
        </is>
      </c>
      <c r="C23" s="85" t="inlineStr">
        <is>
          <t>Highlights who creates champions</t>
        </is>
      </c>
      <c r="D23" s="87">
        <f>COUNTIF('Survey Results'!R5:R52,"Y")&amp;" recommendations — not tracked in structured way"</f>
        <v/>
      </c>
    </row>
    <row r="24"/>
    <row r="25" ht="15" customHeight="1">
      <c r="A25" s="91" t="inlineStr">
        <is>
          <t>C. Case Study: PrimeAdvisory Group (P007) — The "Partner D" Problem</t>
        </is>
      </c>
    </row>
    <row r="26" ht="15" customHeight="1">
      <c r="A26" s="95" t="inlineStr">
        <is>
          <t>Traditional view: P007 is a top partner</t>
        </is>
      </c>
      <c r="B26" s="102" t="n"/>
      <c r="C26" s="103" t="n"/>
      <c r="D26" s="96">
        <f>COUNTIFS(Opportunities!E5:E38,"P007",Opportunities!M5:M38,TRUE())&amp;" deals won, "&amp;TEXT(SUMIFS(Opportunities!L5:L38,Opportunities!E5:E38,"P007",Opportunities!M5:M38,TRUE()),"$#,##0")&amp;" pipeline — highest volume referral partner"</f>
        <v/>
      </c>
      <c r="E26" s="102" t="n"/>
      <c r="F26" s="102" t="n"/>
      <c r="G26" s="102" t="n"/>
      <c r="H26" s="102" t="n"/>
      <c r="I26" s="102" t="n"/>
      <c r="J26" s="102" t="n"/>
      <c r="K26" s="103" t="n"/>
    </row>
    <row r="27" ht="15" customHeight="1">
      <c r="A27" s="95" t="inlineStr">
        <is>
          <t>Customer-first view: P007 is destroying value</t>
        </is>
      </c>
      <c r="B27" s="102" t="n"/>
      <c r="C27" s="103" t="n"/>
      <c r="D27" s="96">
        <f>IFERROR(ROUND(AVERAGEIF('Combined Dashboard'!C5:C16,"P007",'Combined Dashboard'!I5:I16),1),0)&amp;" avg CSI (vs portfolio avg "&amp;ROUND(AVERAGE('Combined Dashboard'!I5:I16),1)&amp;") — customers sourced by P007 underperform"</f>
        <v/>
      </c>
      <c r="E27" s="102" t="n"/>
      <c r="F27" s="102" t="n"/>
      <c r="G27" s="102" t="n"/>
      <c r="H27" s="102" t="n"/>
      <c r="I27" s="102" t="n"/>
      <c r="J27" s="102" t="n"/>
      <c r="K27" s="103" t="n"/>
    </row>
    <row r="28" ht="15" customHeight="1">
      <c r="A28" s="95" t="inlineStr">
        <is>
          <t>The evidence in the data</t>
        </is>
      </c>
      <c r="B28" s="102" t="n"/>
      <c r="C28" s="103" t="n"/>
      <c r="D28" s="96">
        <f>COUNTIFS('Combined Dashboard'!C5:C16,"P007",'Combined Dashboard'!O5:O16,"Critical")+COUNTIFS('Combined Dashboard'!C5:C16,"P007",'Combined Dashboard'!O5:O16,"At Risk")&amp;" of "&amp;COUNTIF('Combined Dashboard'!C5:C16,"P007")&amp;" P007 customers are At Risk or Critical"</f>
        <v/>
      </c>
      <c r="E28" s="102" t="n"/>
      <c r="F28" s="102" t="n"/>
      <c r="G28" s="102" t="n"/>
      <c r="H28" s="102" t="n"/>
      <c r="I28" s="102" t="n"/>
      <c r="J28" s="102" t="n"/>
      <c r="K28" s="103" t="n"/>
    </row>
    <row r="29" ht="23.25" customHeight="1">
      <c r="A29" s="95" t="inlineStr">
        <is>
          <t>What should change</t>
        </is>
      </c>
      <c r="B29" s="102" t="n"/>
      <c r="C29" s="103" t="n"/>
      <c r="D29" s="96" t="inlineStr">
        <is>
          <t>Review relationship with P007. High volume masks poor outcomes. Redirect investment to P001 (Apex) and P011 (TrueNorth) who deliver higher CSI and ECS.</t>
        </is>
      </c>
      <c r="E29" s="102" t="n"/>
      <c r="F29" s="102" t="n"/>
      <c r="G29" s="102" t="n"/>
      <c r="H29" s="102" t="n"/>
      <c r="I29" s="102" t="n"/>
      <c r="J29" s="102" t="n"/>
      <c r="K29" s="103" t="n"/>
    </row>
  </sheetData>
  <mergeCells count="13">
    <mergeCell ref="A28:C28"/>
    <mergeCell ref="D26:K26"/>
    <mergeCell ref="A4:K4"/>
    <mergeCell ref="A25:K25"/>
    <mergeCell ref="A2:K2"/>
    <mergeCell ref="A27:C27"/>
    <mergeCell ref="D28:K28"/>
    <mergeCell ref="D29:K29"/>
    <mergeCell ref="D27:K27"/>
    <mergeCell ref="A13:K13"/>
    <mergeCell ref="A29:C29"/>
    <mergeCell ref="A1:K1"/>
    <mergeCell ref="A26:C26"/>
  </mergeCell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tabColor rgb="FFE74C3C"/>
    <outlinePr summaryBelow="1" summaryRight="1"/>
    <pageSetUpPr/>
  </sheetPr>
  <dimension ref="A1:E48"/>
  <sheetViews>
    <sheetView zoomScaleNormal="100" workbookViewId="0">
      <selection activeCell="A1" sqref="A1:E1"/>
    </sheetView>
  </sheetViews>
  <sheetFormatPr baseColWidth="8" defaultColWidth="8.7109375" defaultRowHeight="15"/>
  <cols>
    <col width="36" customWidth="1" min="1" max="1"/>
    <col width="10" customWidth="1" min="2" max="2"/>
    <col width="52" customWidth="1" min="3" max="3"/>
    <col width="22" customWidth="1" min="4" max="4"/>
    <col width="12" customWidth="1" min="5" max="5"/>
  </cols>
  <sheetData>
    <row r="1" ht="17.25" customHeight="1">
      <c r="A1" s="93" t="inlineStr">
        <is>
          <t>Weights &amp; Assumptions</t>
        </is>
      </c>
    </row>
    <row r="2" ht="15" customHeight="1">
      <c r="A2" s="94" t="inlineStr">
        <is>
          <t>All scoring weights and model assumptions in one place. Change any weight and the calculators update automatically. Customer Outcome Intelligence v1.0 (September 2026) — definitions at https://www.entwineapp.io/metrics.</t>
        </is>
      </c>
    </row>
    <row r="4" ht="15" customHeight="1">
      <c r="A4" s="91" t="inlineStr">
        <is>
          <t>A. Partner Value Attribution — lifecycle stage weights (15 points per customer). This is the attribution layer, not CSI.</t>
        </is>
      </c>
    </row>
    <row r="5" ht="26.25" customHeight="1">
      <c r="A5" s="5" t="inlineStr">
        <is>
          <t>Lifecycle Stage</t>
        </is>
      </c>
      <c r="B5" s="5" t="inlineStr">
        <is>
          <t>Weight</t>
        </is>
      </c>
      <c r="C5" s="5" t="inlineStr">
        <is>
          <t>Rationale</t>
        </is>
      </c>
      <c r="D5" s="5" t="inlineStr">
        <is>
          <t>Max Score (Weight × 10)</t>
        </is>
      </c>
      <c r="E5" s="5" t="inlineStr">
        <is>
          <t>% of Total</t>
        </is>
      </c>
    </row>
    <row r="6" ht="15" customHeight="1">
      <c r="A6" s="6" t="inlineStr">
        <is>
          <t>Acquisition</t>
        </is>
      </c>
      <c r="B6" s="7" t="n">
        <v>1</v>
      </c>
      <c r="C6" s="8" t="inlineStr">
        <is>
          <t>Initial discovery — lowest ongoing impact</t>
        </is>
      </c>
      <c r="D6" s="9">
        <f>B6*10</f>
        <v/>
      </c>
      <c r="E6" s="10">
        <f>B6/B12</f>
        <v/>
      </c>
    </row>
    <row r="7" ht="15" customHeight="1">
      <c r="A7" s="6" t="inlineStr">
        <is>
          <t>Onboarding</t>
        </is>
      </c>
      <c r="B7" s="7" t="n">
        <v>2</v>
      </c>
      <c r="C7" s="8" t="inlineStr">
        <is>
          <t>Implementation quality affects time-to-value</t>
        </is>
      </c>
      <c r="D7" s="9">
        <f>B7*10</f>
        <v/>
      </c>
      <c r="E7" s="10">
        <f>B7/B12</f>
        <v/>
      </c>
    </row>
    <row r="8" ht="15" customHeight="1">
      <c r="A8" s="6" t="inlineStr">
        <is>
          <t>Adoption</t>
        </is>
      </c>
      <c r="B8" s="7" t="n">
        <v>3</v>
      </c>
      <c r="C8" s="8" t="inlineStr">
        <is>
          <t>Ongoing engagement drives usage depth</t>
        </is>
      </c>
      <c r="D8" s="9">
        <f>B8*10</f>
        <v/>
      </c>
      <c r="E8" s="10">
        <f>B8/B12</f>
        <v/>
      </c>
    </row>
    <row r="9" ht="15" customHeight="1">
      <c r="A9" s="6" t="inlineStr">
        <is>
          <t>Retention</t>
        </is>
      </c>
      <c r="B9" s="7" t="n">
        <v>4</v>
      </c>
      <c r="C9" s="8" t="inlineStr">
        <is>
          <t>Highest weight — where partner value shows most</t>
        </is>
      </c>
      <c r="D9" s="9">
        <f>B9*10</f>
        <v/>
      </c>
      <c r="E9" s="10">
        <f>B9/B12</f>
        <v/>
      </c>
    </row>
    <row r="10" ht="15" customHeight="1">
      <c r="A10" s="6" t="inlineStr">
        <is>
          <t>Expansion</t>
        </is>
      </c>
      <c r="B10" s="7" t="n">
        <v>3</v>
      </c>
      <c r="C10" s="8" t="inlineStr">
        <is>
          <t>Growth opportunities extend customer lifetime</t>
        </is>
      </c>
      <c r="D10" s="9">
        <f>B10*10</f>
        <v/>
      </c>
      <c r="E10" s="10">
        <f>B10/B12</f>
        <v/>
      </c>
    </row>
    <row r="11" ht="15" customHeight="1">
      <c r="A11" s="6" t="inlineStr">
        <is>
          <t>Advocacy</t>
        </is>
      </c>
      <c r="B11" s="7" t="n">
        <v>2</v>
      </c>
      <c r="C11" s="8" t="inlineStr">
        <is>
          <t>References and referrals create flywheel</t>
        </is>
      </c>
      <c r="D11" s="9">
        <f>B11*10</f>
        <v/>
      </c>
      <c r="E11" s="10">
        <f>B11/B12</f>
        <v/>
      </c>
    </row>
    <row r="12" ht="15" customHeight="1">
      <c r="A12" s="6" t="inlineStr">
        <is>
          <t>TOTAL</t>
        </is>
      </c>
      <c r="B12" s="11">
        <f>SUM(B6:B11)</f>
        <v/>
      </c>
      <c r="C12" s="94" t="inlineStr">
        <is>
          <t>← 15 points per customer, shared out on the Partner Value Attribution sheet</t>
        </is>
      </c>
      <c r="D12" s="11">
        <f>SUM(D6:D11)</f>
        <v/>
      </c>
    </row>
    <row r="14" ht="15" customHeight="1">
      <c r="A14" s="91" t="inlineStr">
        <is>
          <t>B. Ecosystem Completeness Score (ECS) — Capability Weights</t>
        </is>
      </c>
    </row>
    <row r="15" ht="26.25" customHeight="1">
      <c r="A15" s="5" t="inlineStr">
        <is>
          <t>Capability Area</t>
        </is>
      </c>
      <c r="B15" s="5" t="inlineStr">
        <is>
          <t>Weight</t>
        </is>
      </c>
      <c r="C15" s="5" t="inlineStr">
        <is>
          <t>Rationale</t>
        </is>
      </c>
      <c r="D15" s="5" t="inlineStr">
        <is>
          <t>Max Score (Weight × 10)</t>
        </is>
      </c>
      <c r="E15" s="5" t="inlineStr">
        <is>
          <t>% of Total</t>
        </is>
      </c>
    </row>
    <row r="16" ht="15" customHeight="1">
      <c r="A16" s="6" t="inlineStr">
        <is>
          <t>Core Product</t>
        </is>
      </c>
      <c r="B16" s="7" t="n">
        <v>5</v>
      </c>
      <c r="C16" s="8" t="inlineStr">
        <is>
          <t>Your solution — foundation of the ecosystem</t>
        </is>
      </c>
      <c r="D16" s="9">
        <f>B16*10</f>
        <v/>
      </c>
      <c r="E16" s="10">
        <f>B16/B24</f>
        <v/>
      </c>
    </row>
    <row r="17" ht="15" customHeight="1">
      <c r="A17" s="6" t="inlineStr">
        <is>
          <t>Implementation</t>
        </is>
      </c>
      <c r="B17" s="7" t="n">
        <v>4</v>
      </c>
      <c r="C17" s="8" t="inlineStr">
        <is>
          <t>Setup, configuration — critical for time-to-value</t>
        </is>
      </c>
      <c r="D17" s="9">
        <f>B17*10</f>
        <v/>
      </c>
      <c r="E17" s="10">
        <f>B17/B24</f>
        <v/>
      </c>
    </row>
    <row r="18" ht="15" customHeight="1">
      <c r="A18" s="6" t="inlineStr">
        <is>
          <t>Integration</t>
        </is>
      </c>
      <c r="B18" s="7" t="n">
        <v>4</v>
      </c>
      <c r="C18" s="8" t="inlineStr">
        <is>
          <t>Connecting to existing systems — technical stickiness</t>
        </is>
      </c>
      <c r="D18" s="9">
        <f>B18*10</f>
        <v/>
      </c>
      <c r="E18" s="10">
        <f>B18/B24</f>
        <v/>
      </c>
    </row>
    <row r="19" ht="15" customHeight="1">
      <c r="A19" s="6" t="inlineStr">
        <is>
          <t>Training</t>
        </is>
      </c>
      <c r="B19" s="7" t="n">
        <v>3</v>
      </c>
      <c r="C19" s="8" t="inlineStr">
        <is>
          <t>User enablement — drives adoption</t>
        </is>
      </c>
      <c r="D19" s="9">
        <f>B19*10</f>
        <v/>
      </c>
      <c r="E19" s="10">
        <f>B19/B24</f>
        <v/>
      </c>
    </row>
    <row r="20" ht="15" customHeight="1">
      <c r="A20" s="6" t="inlineStr">
        <is>
          <t>Ongoing Support</t>
        </is>
      </c>
      <c r="B20" s="7" t="n">
        <v>3</v>
      </c>
      <c r="C20" s="8" t="inlineStr">
        <is>
          <t>Break/fix, how-to — keeps customers productive</t>
        </is>
      </c>
      <c r="D20" s="9">
        <f>B20*10</f>
        <v/>
      </c>
      <c r="E20" s="10">
        <f>B20/B24</f>
        <v/>
      </c>
    </row>
    <row r="21" ht="15" customHeight="1">
      <c r="A21" s="6" t="inlineStr">
        <is>
          <t>Compliance / Security</t>
        </is>
      </c>
      <c r="B21" s="7" t="n">
        <v>5</v>
      </c>
      <c r="C21" s="8" t="inlineStr">
        <is>
          <t>Regulatory needs — non-negotiable for many industries</t>
        </is>
      </c>
      <c r="D21" s="9">
        <f>B21*10</f>
        <v/>
      </c>
      <c r="E21" s="10">
        <f>B21/B24</f>
        <v/>
      </c>
    </row>
    <row r="22" ht="15" customHeight="1">
      <c r="A22" s="6" t="inlineStr">
        <is>
          <t>Analytics / Features</t>
        </is>
      </c>
      <c r="B22" s="7" t="n">
        <v>3</v>
      </c>
      <c r="C22" s="8" t="inlineStr">
        <is>
          <t>Feature depth — drives expansion</t>
        </is>
      </c>
      <c r="D22" s="9">
        <f>B22*10</f>
        <v/>
      </c>
      <c r="E22" s="10">
        <f>B22/B24</f>
        <v/>
      </c>
    </row>
    <row r="23" ht="15" customHeight="1">
      <c r="A23" s="6" t="inlineStr">
        <is>
          <t>Custom Reporting</t>
        </is>
      </c>
      <c r="B23" s="7" t="n">
        <v>2</v>
      </c>
      <c r="C23" s="8" t="inlineStr">
        <is>
          <t>Adjacent capability — nice-to-have for most</t>
        </is>
      </c>
      <c r="D23" s="9">
        <f>B23*10</f>
        <v/>
      </c>
      <c r="E23" s="10">
        <f>B23/B24</f>
        <v/>
      </c>
    </row>
    <row r="24" ht="15" customHeight="1">
      <c r="A24" s="6" t="inlineStr">
        <is>
          <t>TOTAL</t>
        </is>
      </c>
      <c r="B24" s="11">
        <f>SUM(B16:B23)</f>
        <v/>
      </c>
      <c r="C24" s="94" t="inlineStr">
        <is>
          <t>← ECS Max Score (used by ECS Calculator)</t>
        </is>
      </c>
      <c r="D24" s="11">
        <f>SUM(D16:D23)</f>
        <v/>
      </c>
    </row>
    <row r="26" ht="15" customHeight="1">
      <c r="A26" s="91" t="inlineStr">
        <is>
          <t>C. Model Assumptions</t>
        </is>
      </c>
    </row>
    <row r="27" ht="15" customHeight="1">
      <c r="A27" s="5" t="inlineStr">
        <is>
          <t>Assumption</t>
        </is>
      </c>
      <c r="B27" s="5" t="inlineStr">
        <is>
          <t>Value</t>
        </is>
      </c>
      <c r="C27" s="5" t="inlineStr">
        <is>
          <t>Used In</t>
        </is>
      </c>
    </row>
    <row r="28" ht="15" customHeight="1">
      <c r="A28" s="6" t="inlineStr">
        <is>
          <t>Target Time-to-Value (days)</t>
        </is>
      </c>
      <c r="B28" s="7" t="n">
        <v>60</v>
      </c>
      <c r="C28" s="8" t="inlineStr">
        <is>
          <t>Used in Partner Value Attribution onboarding quality: MIN(10, (Target/Actual)×10)</t>
        </is>
      </c>
    </row>
    <row r="29" ht="15" customHeight="1">
      <c r="A29" s="6" t="inlineStr">
        <is>
          <t>Adoption uplift factor (%)</t>
        </is>
      </c>
      <c r="B29" s="12" t="n">
        <v>0.15</v>
      </c>
      <c r="C29" s="8" t="inlineStr">
        <is>
          <t>Used in Partner Value Attribution: quality/10 × factor × ARR</t>
        </is>
      </c>
    </row>
    <row r="30" ht="15" customHeight="1">
      <c r="A30" s="6" t="inlineStr">
        <is>
          <t>Churn cost multiplier (× ARR)</t>
        </is>
      </c>
      <c r="B30" s="7" t="n">
        <v>1</v>
      </c>
      <c r="C30" s="8" t="inlineStr">
        <is>
          <t>Used in Partner Value Attribution: churns × avg ARR</t>
        </is>
      </c>
    </row>
    <row r="31" ht="15" customHeight="1">
      <c r="A31" s="6" t="inlineStr">
        <is>
          <t>Retention years: Excellent (CSI ≥ 8)</t>
        </is>
      </c>
      <c r="B31" s="13" t="n">
        <v>5</v>
      </c>
      <c r="C31" s="8" t="inlineStr">
        <is>
          <t>Used in Combined Dashboard LTV calculation</t>
        </is>
      </c>
    </row>
    <row r="32" ht="15" customHeight="1">
      <c r="A32" s="6" t="inlineStr">
        <is>
          <t>Retention years: Healthy (CSI 6–7.9)</t>
        </is>
      </c>
      <c r="B32" s="13" t="n">
        <v>3.5</v>
      </c>
      <c r="C32" s="8" t="inlineStr">
        <is>
          <t>Used in Combined Dashboard LTV calculation</t>
        </is>
      </c>
    </row>
    <row r="33" ht="15" customHeight="1">
      <c r="A33" s="6" t="inlineStr">
        <is>
          <t>Retention years: At Risk (CSI 4–5.9)</t>
        </is>
      </c>
      <c r="B33" s="13" t="n">
        <v>2</v>
      </c>
      <c r="C33" s="8" t="inlineStr">
        <is>
          <t>Used in Combined Dashboard LTV calculation</t>
        </is>
      </c>
    </row>
    <row r="34" ht="15" customHeight="1">
      <c r="A34" s="6" t="inlineStr">
        <is>
          <t>Retention years: Critical (CSI &lt; 4)</t>
        </is>
      </c>
      <c r="B34" s="13" t="n">
        <v>0.8</v>
      </c>
      <c r="C34" s="8" t="inlineStr">
        <is>
          <t>Used in Combined Dashboard LTV calculation</t>
        </is>
      </c>
    </row>
    <row r="36">
      <c r="A36" s="91" t="inlineStr">
        <is>
          <t>D. Customer Success Index (CSI) — component weights. Customer Outcome Intelligence v1.0 (September 2026) — definitions at https://www.entwineapp.io/metrics</t>
        </is>
      </c>
    </row>
    <row r="37">
      <c r="A37" s="5" t="inlineStr">
        <is>
          <t>Component (each scored 0–10)</t>
        </is>
      </c>
      <c r="B37" s="5" t="inlineStr">
        <is>
          <t>Weight</t>
        </is>
      </c>
      <c r="C37" s="5" t="inlineStr">
        <is>
          <t>Rationale</t>
        </is>
      </c>
      <c r="D37" t="inlineStr">
        <is>
          <t>Source in this workbook</t>
        </is>
      </c>
    </row>
    <row r="38">
      <c r="A38" s="6" t="inlineStr">
        <is>
          <t>Product adoption</t>
        </is>
      </c>
      <c r="B38" s="104" t="n">
        <v>0.25</v>
      </c>
      <c r="C38" s="8" t="inlineStr">
        <is>
          <t>How much of what they bought is in use</t>
        </is>
      </c>
      <c r="D38" t="inlineStr">
        <is>
          <t>Adoption Metrics — adoption rate, latest month</t>
        </is>
      </c>
    </row>
    <row r="39">
      <c r="A39" s="6" t="inlineStr">
        <is>
          <t>Engagement quality</t>
        </is>
      </c>
      <c r="B39" s="104" t="n">
        <v>0.25</v>
      </c>
      <c r="C39" s="8" t="inlineStr">
        <is>
          <t>How well the delivery work went</t>
        </is>
      </c>
      <c r="D39" t="inlineStr">
        <is>
          <t>Engagements — mean delivery assurance score</t>
        </is>
      </c>
    </row>
    <row r="40">
      <c r="A40" s="6" t="inlineStr">
        <is>
          <t>Advocacy</t>
        </is>
      </c>
      <c r="B40" s="104" t="n">
        <v>0.25</v>
      </c>
      <c r="C40" s="8" t="inlineStr">
        <is>
          <t>Whether they vouch for you</t>
        </is>
      </c>
      <c r="D40" t="inlineStr">
        <is>
          <t>Survey Results (would recommend) + advocacy engagements</t>
        </is>
      </c>
    </row>
    <row r="41">
      <c r="A41" s="6" t="inlineStr">
        <is>
          <t>Business outcomes</t>
        </is>
      </c>
      <c r="B41" s="104" t="n">
        <v>0.25</v>
      </c>
      <c r="C41" s="8" t="inlineStr">
        <is>
          <t>Value realised, on a revenue curve</t>
        </is>
      </c>
      <c r="D41" t="inlineStr">
        <is>
          <t>Customers — ARR</t>
        </is>
      </c>
    </row>
    <row r="42">
      <c r="A42" s="6" t="inlineStr">
        <is>
          <t>Customer sentiment</t>
        </is>
      </c>
      <c r="B42" s="104" t="n">
        <v>0.25</v>
      </c>
      <c r="C42" s="8" t="inlineStr">
        <is>
          <t>What they say when asked</t>
        </is>
      </c>
      <c r="D42" t="inlineStr">
        <is>
          <t>Survey Results — mean overall NPS (0–10)</t>
        </is>
      </c>
    </row>
    <row r="43">
      <c r="A43" s="6" t="inlineStr">
        <is>
          <t>Minimum present weight to score (else the score is withheld)</t>
        </is>
      </c>
      <c r="B43" s="104" t="n">
        <v>0.5</v>
      </c>
      <c r="C43" s="8" t="inlineStr">
        <is>
          <t>A component with no data is excluded and the remaining weights renormalise — never scored as 0 or 5. With all five present each counts 0.2.</t>
        </is>
      </c>
    </row>
    <row r="44">
      <c r="A44" s="5" t="inlineStr">
        <is>
          <t>Health band</t>
        </is>
      </c>
      <c r="B44" s="105" t="inlineStr">
        <is>
          <t>CSI at least</t>
        </is>
      </c>
      <c r="C44" s="5" t="inlineStr">
        <is>
          <t>Used in CSI Calculator, Combined Dashboard and Value Impact Model</t>
        </is>
      </c>
    </row>
    <row r="45">
      <c r="A45" s="6" t="inlineStr">
        <is>
          <t>Excellent</t>
        </is>
      </c>
      <c r="B45" s="106" t="n">
        <v>8</v>
      </c>
      <c r="C45" s="8" t="n"/>
    </row>
    <row r="46">
      <c r="A46" s="6" t="inlineStr">
        <is>
          <t>Healthy</t>
        </is>
      </c>
      <c r="B46" s="106" t="n">
        <v>6</v>
      </c>
      <c r="C46" s="8" t="n"/>
    </row>
    <row r="47">
      <c r="A47" s="6" t="inlineStr">
        <is>
          <t>At Risk</t>
        </is>
      </c>
      <c r="B47" s="106" t="n">
        <v>4</v>
      </c>
      <c r="C47" s="8" t="n"/>
    </row>
    <row r="48">
      <c r="A48" s="6" t="inlineStr">
        <is>
          <t>Critical</t>
        </is>
      </c>
      <c r="B48" s="106" t="n"/>
      <c r="C48" s="8" t="inlineStr">
        <is>
          <t>below the At Risk threshold</t>
        </is>
      </c>
    </row>
  </sheetData>
  <mergeCells count="6">
    <mergeCell ref="A4:E4"/>
    <mergeCell ref="A26:E26"/>
    <mergeCell ref="A2:E2"/>
    <mergeCell ref="A1:E1"/>
    <mergeCell ref="A36:E36"/>
    <mergeCell ref="A14:E14"/>
  </mergeCell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tabColor rgb="FF2D4A7A"/>
    <outlinePr summaryBelow="1" summaryRight="1"/>
    <pageSetUpPr/>
  </sheetPr>
  <dimension ref="A1:F16"/>
  <sheetViews>
    <sheetView zoomScaleNormal="100" workbookViewId="0">
      <selection activeCell="A1" sqref="A1:F1"/>
    </sheetView>
  </sheetViews>
  <sheetFormatPr baseColWidth="8" defaultColWidth="8.7109375" defaultRowHeight="15"/>
  <cols>
    <col width="12" customWidth="1" min="1" max="1"/>
    <col width="24" customWidth="1" min="2" max="2"/>
    <col width="22" customWidth="1" min="3" max="3"/>
    <col width="12" customWidth="1" min="4" max="5"/>
    <col width="14" customWidth="1" min="6" max="6"/>
  </cols>
  <sheetData>
    <row r="1" ht="17.25" customHeight="1">
      <c r="A1" s="93" t="inlineStr">
        <is>
          <t>Partner Directory</t>
        </is>
      </c>
    </row>
    <row r="2" ht="15" customHeight="1">
      <c r="A2" s="94" t="inlineStr">
        <is>
          <t>Blue values are editable inputs. Black values are calculated.</t>
        </is>
      </c>
    </row>
    <row r="4" ht="26.25" customHeight="1">
      <c r="A4" s="5" t="inlineStr">
        <is>
          <t>Partner ID</t>
        </is>
      </c>
      <c r="B4" s="5" t="inlineStr">
        <is>
          <t>Partner Name</t>
        </is>
      </c>
      <c r="C4" s="5" t="inlineStr">
        <is>
          <t>Partner Type</t>
        </is>
      </c>
      <c r="D4" s="5" t="inlineStr">
        <is>
          <t>Tier</t>
        </is>
      </c>
      <c r="E4" s="5" t="inlineStr">
        <is>
          <t>Year Joined</t>
        </is>
      </c>
      <c r="F4" s="5" t="inlineStr">
        <is>
          <t>Certified Staff</t>
        </is>
      </c>
    </row>
    <row r="5" ht="15" customHeight="1">
      <c r="A5" s="14" t="inlineStr">
        <is>
          <t>P001</t>
        </is>
      </c>
      <c r="B5" s="14" t="inlineStr">
        <is>
          <t>Apex Consulting</t>
        </is>
      </c>
      <c r="C5" s="14" t="inlineStr">
        <is>
          <t>Advisory / Consulting</t>
        </is>
      </c>
      <c r="D5" s="14" t="inlineStr">
        <is>
          <t>Platinum</t>
        </is>
      </c>
      <c r="E5" s="15" t="n">
        <v>2019</v>
      </c>
      <c r="F5" s="16" t="n">
        <v>24</v>
      </c>
    </row>
    <row r="6" ht="15" customHeight="1">
      <c r="A6" s="17" t="inlineStr">
        <is>
          <t>P002</t>
        </is>
      </c>
      <c r="B6" s="17" t="inlineStr">
        <is>
          <t>CloudBridge Solutions</t>
        </is>
      </c>
      <c r="C6" s="17" t="inlineStr">
        <is>
          <t>Software / Integration</t>
        </is>
      </c>
      <c r="D6" s="17" t="inlineStr">
        <is>
          <t>Gold</t>
        </is>
      </c>
      <c r="E6" s="18" t="n">
        <v>2020</v>
      </c>
      <c r="F6" s="19" t="n">
        <v>18</v>
      </c>
    </row>
    <row r="7" ht="15" customHeight="1">
      <c r="A7" s="14" t="inlineStr">
        <is>
          <t>P003</t>
        </is>
      </c>
      <c r="B7" s="14" t="inlineStr">
        <is>
          <t>DataForce Services</t>
        </is>
      </c>
      <c r="C7" s="14" t="inlineStr">
        <is>
          <t>Delivery</t>
        </is>
      </c>
      <c r="D7" s="14" t="inlineStr">
        <is>
          <t>Platinum</t>
        </is>
      </c>
      <c r="E7" s="15" t="n">
        <v>2018</v>
      </c>
      <c r="F7" s="16" t="n">
        <v>42</v>
      </c>
    </row>
    <row r="8" ht="15" customHeight="1">
      <c r="A8" s="17" t="inlineStr">
        <is>
          <t>P004</t>
        </is>
      </c>
      <c r="B8" s="17" t="inlineStr">
        <is>
          <t>EduTech Partners</t>
        </is>
      </c>
      <c r="C8" s="17" t="inlineStr">
        <is>
          <t>Training</t>
        </is>
      </c>
      <c r="D8" s="17" t="inlineStr">
        <is>
          <t>Silver</t>
        </is>
      </c>
      <c r="E8" s="18" t="n">
        <v>2021</v>
      </c>
      <c r="F8" s="19" t="n">
        <v>8</v>
      </c>
    </row>
    <row r="9" ht="15" customHeight="1">
      <c r="A9" s="14" t="inlineStr">
        <is>
          <t>P005</t>
        </is>
      </c>
      <c r="B9" s="14" t="inlineStr">
        <is>
          <t>ManagedOps Pro</t>
        </is>
      </c>
      <c r="C9" s="14" t="inlineStr">
        <is>
          <t>Managed Services</t>
        </is>
      </c>
      <c r="D9" s="14" t="inlineStr">
        <is>
          <t>Gold</t>
        </is>
      </c>
      <c r="E9" s="15" t="n">
        <v>2020</v>
      </c>
      <c r="F9" s="16" t="n">
        <v>15</v>
      </c>
    </row>
    <row r="10" ht="15" customHeight="1">
      <c r="A10" s="17" t="inlineStr">
        <is>
          <t>P006</t>
        </is>
      </c>
      <c r="B10" s="17" t="inlineStr">
        <is>
          <t>NexGen Integrators</t>
        </is>
      </c>
      <c r="C10" s="17" t="inlineStr">
        <is>
          <t>Software / Integration</t>
        </is>
      </c>
      <c r="D10" s="17" t="inlineStr">
        <is>
          <t>Silver</t>
        </is>
      </c>
      <c r="E10" s="18" t="n">
        <v>2022</v>
      </c>
      <c r="F10" s="19" t="n">
        <v>6</v>
      </c>
    </row>
    <row r="11" ht="15" customHeight="1">
      <c r="A11" s="14" t="inlineStr">
        <is>
          <t>P007</t>
        </is>
      </c>
      <c r="B11" s="14" t="inlineStr">
        <is>
          <t>PrimeAdvisory Group</t>
        </is>
      </c>
      <c r="C11" s="14" t="inlineStr">
        <is>
          <t>Advisory / Consulting</t>
        </is>
      </c>
      <c r="D11" s="14" t="inlineStr">
        <is>
          <t>Gold</t>
        </is>
      </c>
      <c r="E11" s="15" t="n">
        <v>2019</v>
      </c>
      <c r="F11" s="16" t="n">
        <v>20</v>
      </c>
    </row>
    <row r="12" ht="15" customHeight="1">
      <c r="A12" s="17" t="inlineStr">
        <is>
          <t>P008</t>
        </is>
      </c>
      <c r="B12" s="17" t="inlineStr">
        <is>
          <t>RapidDeploy Inc</t>
        </is>
      </c>
      <c r="C12" s="17" t="inlineStr">
        <is>
          <t>Delivery</t>
        </is>
      </c>
      <c r="D12" s="17" t="inlineStr">
        <is>
          <t>Silver</t>
        </is>
      </c>
      <c r="E12" s="18" t="n">
        <v>2023</v>
      </c>
      <c r="F12" s="19" t="n">
        <v>10</v>
      </c>
    </row>
    <row r="13" ht="15" customHeight="1">
      <c r="A13" s="14" t="inlineStr">
        <is>
          <t>P009</t>
        </is>
      </c>
      <c r="B13" s="14" t="inlineStr">
        <is>
          <t>Northstar Advisory</t>
        </is>
      </c>
      <c r="C13" s="14" t="inlineStr">
        <is>
          <t>Embedded Advisor</t>
        </is>
      </c>
      <c r="D13" s="14" t="inlineStr">
        <is>
          <t>Untiered</t>
        </is>
      </c>
      <c r="E13" s="15" t="n">
        <v>2018</v>
      </c>
      <c r="F13" s="16" t="n">
        <v>35</v>
      </c>
    </row>
    <row r="14" ht="15" customHeight="1">
      <c r="A14" s="17" t="inlineStr">
        <is>
          <t>P010</t>
        </is>
      </c>
      <c r="B14" s="17" t="inlineStr">
        <is>
          <t>SkillForge Academy</t>
        </is>
      </c>
      <c r="C14" s="17" t="inlineStr">
        <is>
          <t>Training</t>
        </is>
      </c>
      <c r="D14" s="17" t="inlineStr">
        <is>
          <t>Gold</t>
        </is>
      </c>
      <c r="E14" s="18" t="n">
        <v>2021</v>
      </c>
      <c r="F14" s="19" t="n">
        <v>12</v>
      </c>
    </row>
    <row r="15" ht="15" customHeight="1">
      <c r="A15" s="14" t="inlineStr">
        <is>
          <t>P011</t>
        </is>
      </c>
      <c r="B15" s="14" t="inlineStr">
        <is>
          <t>TrueNorth Advisory</t>
        </is>
      </c>
      <c r="C15" s="14" t="inlineStr">
        <is>
          <t>Advisory / Consulting</t>
        </is>
      </c>
      <c r="D15" s="14" t="inlineStr">
        <is>
          <t>Platinum</t>
        </is>
      </c>
      <c r="E15" s="15" t="n">
        <v>2017</v>
      </c>
      <c r="F15" s="16" t="n">
        <v>30</v>
      </c>
    </row>
    <row r="16" ht="15" customHeight="1">
      <c r="A16" s="17" t="inlineStr">
        <is>
          <t>P012</t>
        </is>
      </c>
      <c r="B16" s="17" t="inlineStr">
        <is>
          <t>VeloCloud Tech</t>
        </is>
      </c>
      <c r="C16" s="17" t="inlineStr">
        <is>
          <t>Software / Integration</t>
        </is>
      </c>
      <c r="D16" s="17" t="inlineStr">
        <is>
          <t>Gold</t>
        </is>
      </c>
      <c r="E16" s="18" t="n">
        <v>2020</v>
      </c>
      <c r="F16" s="19" t="n">
        <v>14</v>
      </c>
    </row>
  </sheetData>
  <mergeCells count="2">
    <mergeCell ref="A2:F2"/>
    <mergeCell ref="A1:F1"/>
  </mergeCells>
  <pageMargins left="0.75" right="0.75" top="1" bottom="1" header="0.511811023622047" footer="0.511811023622047"/>
  <pageSetup orientation="portrait" paperSize="9" horizontalDpi="300" verticalDpi="300"/>
</worksheet>
</file>

<file path=xl/worksheets/sheet5.xml><?xml version="1.0" encoding="utf-8"?>
<worksheet xmlns="http://schemas.openxmlformats.org/spreadsheetml/2006/main">
  <sheetPr>
    <tabColor rgb="FF3498DB"/>
    <outlinePr summaryBelow="1" summaryRight="1"/>
    <pageSetUpPr/>
  </sheetPr>
  <dimension ref="A1:N52"/>
  <sheetViews>
    <sheetView zoomScaleNormal="100" workbookViewId="0">
      <selection activeCell="A1" sqref="A1"/>
    </sheetView>
  </sheetViews>
  <sheetFormatPr baseColWidth="8" defaultColWidth="8.7109375" defaultRowHeight="15"/>
  <cols>
    <col width="10" customWidth="1" min="1" max="1"/>
    <col width="12" customWidth="1" min="2" max="2"/>
    <col width="22" customWidth="1" min="3" max="3"/>
    <col width="16" customWidth="1" min="4" max="5"/>
    <col width="12" customWidth="1" min="6" max="7"/>
    <col width="14" customWidth="1" min="8" max="9"/>
    <col width="16" customWidth="1" min="10" max="10"/>
    <col width="14" customWidth="1" min="11" max="12"/>
    <col width="8" customWidth="1" min="13" max="13"/>
    <col width="32" customWidth="1" min="14" max="14"/>
  </cols>
  <sheetData>
    <row r="1" ht="17.25" customHeight="1">
      <c r="A1" s="93" t="inlineStr">
        <is>
          <t>Opportunity Pipeline Data</t>
        </is>
      </c>
    </row>
    <row r="2" ht="15" customHeight="1">
      <c r="A2" s="94" t="inlineStr">
        <is>
          <t>Raw deal data feeding the CDE Calculator. Includes both partner-sourced and non-partner deals for comparison.</t>
        </is>
      </c>
    </row>
    <row r="4" ht="26.25" customHeight="1">
      <c r="A4" s="5" t="inlineStr">
        <is>
          <t>Opp ID</t>
        </is>
      </c>
      <c r="B4" s="5" t="inlineStr">
        <is>
          <t>Customer ID</t>
        </is>
      </c>
      <c r="C4" s="5" t="inlineStr">
        <is>
          <t>Customer Name</t>
        </is>
      </c>
      <c r="D4" s="5" t="inlineStr">
        <is>
          <t>Deal Source</t>
        </is>
      </c>
      <c r="E4" s="5" t="inlineStr">
        <is>
          <t>Referral Partner</t>
        </is>
      </c>
      <c r="F4" s="5" t="inlineStr">
        <is>
          <t>Stage</t>
        </is>
      </c>
      <c r="G4" s="5" t="inlineStr">
        <is>
          <t>Close Date</t>
        </is>
      </c>
      <c r="H4" s="5" t="inlineStr">
        <is>
          <t>First Contact Date</t>
        </is>
      </c>
      <c r="I4" s="5" t="inlineStr">
        <is>
          <t>Discovery Start</t>
        </is>
      </c>
      <c r="J4" s="5" t="inlineStr">
        <is>
          <t>Solution Selected Date</t>
        </is>
      </c>
      <c r="K4" s="5" t="inlineStr">
        <is>
          <t>Discovery Weeks</t>
        </is>
      </c>
      <c r="L4" s="5" t="inlineStr">
        <is>
          <t>Deal Value ($)</t>
        </is>
      </c>
      <c r="M4" s="5" t="inlineStr">
        <is>
          <t>Won?</t>
        </is>
      </c>
      <c r="N4" s="5" t="inlineStr">
        <is>
          <t>Notes</t>
        </is>
      </c>
    </row>
    <row r="5" ht="15" customHeight="1">
      <c r="A5" s="20" t="inlineStr">
        <is>
          <t>OPP-001</t>
        </is>
      </c>
      <c r="B5" s="20" t="inlineStr">
        <is>
          <t>C001</t>
        </is>
      </c>
      <c r="C5" s="20" t="inlineStr">
        <is>
          <t>Meridian Healthcare</t>
        </is>
      </c>
      <c r="D5" s="20" t="inlineStr">
        <is>
          <t>Partner Referral</t>
        </is>
      </c>
      <c r="E5" s="20" t="inlineStr">
        <is>
          <t>P001</t>
        </is>
      </c>
      <c r="F5" s="20" t="inlineStr">
        <is>
          <t>Closed Won</t>
        </is>
      </c>
      <c r="G5" s="21" t="n">
        <v>44621</v>
      </c>
      <c r="H5" s="21" t="n">
        <v>44566</v>
      </c>
      <c r="I5" s="21" t="n">
        <v>44573</v>
      </c>
      <c r="J5" s="21" t="n">
        <v>44618</v>
      </c>
      <c r="K5" s="22">
        <f>IFERROR(ROUND((J5-I5)/7,1),"")</f>
        <v/>
      </c>
      <c r="L5" s="23" t="n">
        <v>185000</v>
      </c>
      <c r="M5" s="20">
        <f>TRUE()</f>
        <v/>
      </c>
      <c r="N5" s="20" t="inlineStr">
        <is>
          <t>Trusted advisor referral; fast evaluation</t>
        </is>
      </c>
    </row>
    <row r="6" ht="15" customHeight="1">
      <c r="A6" s="24" t="inlineStr">
        <is>
          <t>OPP-002</t>
        </is>
      </c>
      <c r="B6" s="24" t="inlineStr">
        <is>
          <t>C002</t>
        </is>
      </c>
      <c r="C6" s="24" t="inlineStr">
        <is>
          <t>Atlas Financial</t>
        </is>
      </c>
      <c r="D6" s="24" t="inlineStr">
        <is>
          <t>Partner Referral</t>
        </is>
      </c>
      <c r="E6" s="24" t="inlineStr">
        <is>
          <t>P011</t>
        </is>
      </c>
      <c r="F6" s="24" t="inlineStr">
        <is>
          <t>Closed Won</t>
        </is>
      </c>
      <c r="G6" s="25" t="n">
        <v>44336</v>
      </c>
      <c r="H6" s="25" t="n">
        <v>44242</v>
      </c>
      <c r="I6" s="25" t="n">
        <v>44249</v>
      </c>
      <c r="J6" s="25" t="n">
        <v>44326</v>
      </c>
      <c r="K6" s="26">
        <f>IFERROR(ROUND((J6-I6)/7,1),"")</f>
        <v/>
      </c>
      <c r="L6" s="27" t="n">
        <v>420000</v>
      </c>
      <c r="M6" s="24">
        <f>TRUE()</f>
        <v/>
      </c>
      <c r="N6" s="24" t="inlineStr">
        <is>
          <t>Board-level introduction via TrueNorth</t>
        </is>
      </c>
    </row>
    <row r="7" ht="23.25" customHeight="1">
      <c r="A7" s="20" t="inlineStr">
        <is>
          <t>OPP-003</t>
        </is>
      </c>
      <c r="B7" s="20" t="inlineStr">
        <is>
          <t>C003</t>
        </is>
      </c>
      <c r="C7" s="20" t="inlineStr">
        <is>
          <t>Pinnacle Retail</t>
        </is>
      </c>
      <c r="D7" s="20" t="inlineStr">
        <is>
          <t>Partner Referral</t>
        </is>
      </c>
      <c r="E7" s="20" t="inlineStr">
        <is>
          <t>P007</t>
        </is>
      </c>
      <c r="F7" s="20" t="inlineStr">
        <is>
          <t>Closed Won</t>
        </is>
      </c>
      <c r="G7" s="21" t="n">
        <v>44915</v>
      </c>
      <c r="H7" s="21" t="n">
        <v>44805</v>
      </c>
      <c r="I7" s="21" t="n">
        <v>44819</v>
      </c>
      <c r="J7" s="21" t="n">
        <v>44907</v>
      </c>
      <c r="K7" s="22">
        <f>IFERROR(ROUND((J7-I7)/7,1),"")</f>
        <v/>
      </c>
      <c r="L7" s="23" t="n">
        <v>95000</v>
      </c>
      <c r="M7" s="20">
        <f>TRUE()</f>
        <v/>
      </c>
      <c r="N7" s="20" t="inlineStr">
        <is>
          <t>Slower evaluation; multiple stakeholders</t>
        </is>
      </c>
    </row>
    <row r="8" ht="15" customHeight="1">
      <c r="A8" s="24" t="inlineStr">
        <is>
          <t>OPP-004</t>
        </is>
      </c>
      <c r="B8" s="24" t="inlineStr">
        <is>
          <t>C004</t>
        </is>
      </c>
      <c r="C8" s="24" t="inlineStr">
        <is>
          <t>Orion Manufacturing</t>
        </is>
      </c>
      <c r="D8" s="24" t="inlineStr">
        <is>
          <t>Partner Referral</t>
        </is>
      </c>
      <c r="E8" s="24" t="inlineStr">
        <is>
          <t>P001</t>
        </is>
      </c>
      <c r="F8" s="24" t="inlineStr">
        <is>
          <t>Closed Won</t>
        </is>
      </c>
      <c r="G8" s="25" t="n">
        <v>44079</v>
      </c>
      <c r="H8" s="25" t="n">
        <v>44013</v>
      </c>
      <c r="I8" s="25" t="n">
        <v>44020</v>
      </c>
      <c r="J8" s="25" t="n">
        <v>44073</v>
      </c>
      <c r="K8" s="26">
        <f>IFERROR(ROUND((J8-I8)/7,1),"")</f>
        <v/>
      </c>
      <c r="L8" s="27" t="n">
        <v>310000</v>
      </c>
      <c r="M8" s="24">
        <f>TRUE()</f>
        <v/>
      </c>
      <c r="N8" s="24" t="inlineStr">
        <is>
          <t>Repeat referral from Apex; high trust</t>
        </is>
      </c>
    </row>
    <row r="9" ht="23.25" customHeight="1">
      <c r="A9" s="20" t="inlineStr">
        <is>
          <t>OPP-005</t>
        </is>
      </c>
      <c r="B9" s="20" t="inlineStr">
        <is>
          <t>C005</t>
        </is>
      </c>
      <c r="C9" s="20" t="inlineStr">
        <is>
          <t>Zenith Logistics</t>
        </is>
      </c>
      <c r="D9" s="20" t="inlineStr">
        <is>
          <t>Partner Referral</t>
        </is>
      </c>
      <c r="E9" s="20" t="inlineStr">
        <is>
          <t>P002</t>
        </is>
      </c>
      <c r="F9" s="20" t="inlineStr">
        <is>
          <t>Closed Won</t>
        </is>
      </c>
      <c r="G9" s="21" t="n">
        <v>44854</v>
      </c>
      <c r="H9" s="21" t="n">
        <v>44727</v>
      </c>
      <c r="I9" s="21" t="n">
        <v>44743</v>
      </c>
      <c r="J9" s="21" t="n">
        <v>44844</v>
      </c>
      <c r="K9" s="22">
        <f>IFERROR(ROUND((J9-I9)/7,1),"")</f>
        <v/>
      </c>
      <c r="L9" s="23" t="n">
        <v>145000</v>
      </c>
      <c r="M9" s="20">
        <f>TRUE()</f>
        <v/>
      </c>
      <c r="N9" s="20" t="inlineStr">
        <is>
          <t>Integration-led deal; longer technical eval</t>
        </is>
      </c>
    </row>
    <row r="10" ht="23.25" customHeight="1">
      <c r="A10" s="24" t="inlineStr">
        <is>
          <t>OPP-006</t>
        </is>
      </c>
      <c r="B10" s="24" t="inlineStr">
        <is>
          <t>C006</t>
        </is>
      </c>
      <c r="C10" s="24" t="inlineStr">
        <is>
          <t>Beacon Education</t>
        </is>
      </c>
      <c r="D10" s="24" t="inlineStr">
        <is>
          <t>Partner Referral</t>
        </is>
      </c>
      <c r="E10" s="24" t="inlineStr">
        <is>
          <t>P004</t>
        </is>
      </c>
      <c r="F10" s="24" t="inlineStr">
        <is>
          <t>Closed Won</t>
        </is>
      </c>
      <c r="G10" s="25" t="n">
        <v>45021</v>
      </c>
      <c r="H10" s="25" t="n">
        <v>44946</v>
      </c>
      <c r="I10" s="25" t="n">
        <v>44958</v>
      </c>
      <c r="J10" s="25" t="n">
        <v>45013</v>
      </c>
      <c r="K10" s="26">
        <f>IFERROR(ROUND((J10-I10)/7,1),"")</f>
        <v/>
      </c>
      <c r="L10" s="27" t="n">
        <v>72000</v>
      </c>
      <c r="M10" s="24">
        <f>TRUE()</f>
        <v/>
      </c>
      <c r="N10" s="24" t="inlineStr">
        <is>
          <t>Training partner identified need during workshop</t>
        </is>
      </c>
    </row>
    <row r="11" ht="23.25" customHeight="1">
      <c r="A11" s="20" t="inlineStr">
        <is>
          <t>OPP-007</t>
        </is>
      </c>
      <c r="B11" s="20" t="inlineStr">
        <is>
          <t>C007</t>
        </is>
      </c>
      <c r="C11" s="20" t="inlineStr">
        <is>
          <t>Forge Industries</t>
        </is>
      </c>
      <c r="D11" s="20" t="inlineStr">
        <is>
          <t>Partner Referral</t>
        </is>
      </c>
      <c r="E11" s="20" t="inlineStr">
        <is>
          <t>P011</t>
        </is>
      </c>
      <c r="F11" s="20" t="inlineStr">
        <is>
          <t>Closed Won</t>
        </is>
      </c>
      <c r="G11" s="21" t="n">
        <v>44228</v>
      </c>
      <c r="H11" s="21" t="n">
        <v>44145</v>
      </c>
      <c r="I11" s="21" t="n">
        <v>44152</v>
      </c>
      <c r="J11" s="21" t="n">
        <v>44221</v>
      </c>
      <c r="K11" s="22">
        <f>IFERROR(ROUND((J11-I11)/7,1),"")</f>
        <v/>
      </c>
      <c r="L11" s="23" t="n">
        <v>265000</v>
      </c>
      <c r="M11" s="20">
        <f>TRUE()</f>
        <v/>
      </c>
      <c r="N11" s="20" t="inlineStr">
        <is>
          <t>CTO-to-CTO intro; very high trust transfer</t>
        </is>
      </c>
    </row>
    <row r="12" ht="23.25" customHeight="1">
      <c r="A12" s="24" t="inlineStr">
        <is>
          <t>OPP-008</t>
        </is>
      </c>
      <c r="B12" s="24" t="inlineStr">
        <is>
          <t>C008</t>
        </is>
      </c>
      <c r="C12" s="24" t="inlineStr">
        <is>
          <t>Crestline Media</t>
        </is>
      </c>
      <c r="D12" s="24" t="inlineStr">
        <is>
          <t>Partner Referral</t>
        </is>
      </c>
      <c r="E12" s="24" t="inlineStr">
        <is>
          <t>P007</t>
        </is>
      </c>
      <c r="F12" s="24" t="inlineStr">
        <is>
          <t>Closed Won</t>
        </is>
      </c>
      <c r="G12" s="25" t="n">
        <v>44752</v>
      </c>
      <c r="H12" s="25" t="n">
        <v>44581</v>
      </c>
      <c r="I12" s="25" t="n">
        <v>44597</v>
      </c>
      <c r="J12" s="25" t="n">
        <v>44743</v>
      </c>
      <c r="K12" s="26">
        <f>IFERROR(ROUND((J12-I12)/7,1),"")</f>
        <v/>
      </c>
      <c r="L12" s="27" t="n">
        <v>118000</v>
      </c>
      <c r="M12" s="24">
        <f>TRUE()</f>
        <v/>
      </c>
      <c r="N12" s="24" t="inlineStr">
        <is>
          <t>Multiple competitors; slow decision cycle</t>
        </is>
      </c>
    </row>
    <row r="13" ht="23.25" customHeight="1">
      <c r="A13" s="20" t="inlineStr">
        <is>
          <t>OPP-009</t>
        </is>
      </c>
      <c r="B13" s="20" t="inlineStr">
        <is>
          <t>C009</t>
        </is>
      </c>
      <c r="C13" s="20" t="inlineStr">
        <is>
          <t>Summit Energy</t>
        </is>
      </c>
      <c r="D13" s="20" t="inlineStr">
        <is>
          <t>Partner Referral</t>
        </is>
      </c>
      <c r="E13" s="20" t="inlineStr">
        <is>
          <t>P001</t>
        </is>
      </c>
      <c r="F13" s="20" t="inlineStr">
        <is>
          <t>Closed Won</t>
        </is>
      </c>
      <c r="G13" s="21" t="n">
        <v>43784</v>
      </c>
      <c r="H13" s="21" t="n">
        <v>43682</v>
      </c>
      <c r="I13" s="21" t="n">
        <v>43689</v>
      </c>
      <c r="J13" s="21" t="n">
        <v>43777</v>
      </c>
      <c r="K13" s="22">
        <f>IFERROR(ROUND((J13-I13)/7,1),"")</f>
        <v/>
      </c>
      <c r="L13" s="23" t="n">
        <v>390000</v>
      </c>
      <c r="M13" s="20">
        <f>TRUE()</f>
        <v/>
      </c>
      <c r="N13" s="20" t="inlineStr">
        <is>
          <t>Strategic initiative; Apex deeply embedded</t>
        </is>
      </c>
    </row>
    <row r="14" ht="23.25" customHeight="1">
      <c r="A14" s="24" t="inlineStr">
        <is>
          <t>OPP-010</t>
        </is>
      </c>
      <c r="B14" s="24" t="inlineStr">
        <is>
          <t>C010</t>
        </is>
      </c>
      <c r="C14" s="24" t="inlineStr">
        <is>
          <t>Vantage Tech</t>
        </is>
      </c>
      <c r="D14" s="24" t="inlineStr">
        <is>
          <t>Partner Referral</t>
        </is>
      </c>
      <c r="E14" s="24" t="inlineStr">
        <is>
          <t>P002</t>
        </is>
      </c>
      <c r="F14" s="24" t="inlineStr">
        <is>
          <t>Closed Won</t>
        </is>
      </c>
      <c r="G14" s="25" t="n">
        <v>45127</v>
      </c>
      <c r="H14" s="25" t="n">
        <v>45017</v>
      </c>
      <c r="I14" s="25" t="n">
        <v>45026</v>
      </c>
      <c r="J14" s="25" t="n">
        <v>45119</v>
      </c>
      <c r="K14" s="26">
        <f>IFERROR(ROUND((J14-I14)/7,1),"")</f>
        <v/>
      </c>
      <c r="L14" s="27" t="n">
        <v>210000</v>
      </c>
      <c r="M14" s="24">
        <f>TRUE()</f>
        <v/>
      </c>
      <c r="N14" s="24" t="inlineStr">
        <is>
          <t>Integration proof-of-concept shortened eval</t>
        </is>
      </c>
    </row>
    <row r="15" ht="23.25" customHeight="1">
      <c r="A15" s="20" t="inlineStr">
        <is>
          <t>OPP-011</t>
        </is>
      </c>
      <c r="B15" s="20" t="inlineStr">
        <is>
          <t>C011</t>
        </is>
      </c>
      <c r="C15" s="20" t="inlineStr">
        <is>
          <t>Horizon Pharma</t>
        </is>
      </c>
      <c r="D15" s="20" t="inlineStr">
        <is>
          <t>Partner Referral</t>
        </is>
      </c>
      <c r="E15" s="20" t="inlineStr">
        <is>
          <t>P011</t>
        </is>
      </c>
      <c r="F15" s="20" t="inlineStr">
        <is>
          <t>Closed Won</t>
        </is>
      </c>
      <c r="G15" s="21" t="n">
        <v>43952</v>
      </c>
      <c r="H15" s="21" t="n">
        <v>43871</v>
      </c>
      <c r="I15" s="21" t="n">
        <v>43878</v>
      </c>
      <c r="J15" s="21" t="n">
        <v>43946</v>
      </c>
      <c r="K15" s="22">
        <f>IFERROR(ROUND((J15-I15)/7,1),"")</f>
        <v/>
      </c>
      <c r="L15" s="23" t="n">
        <v>340000</v>
      </c>
      <c r="M15" s="20">
        <f>TRUE()</f>
        <v/>
      </c>
      <c r="N15" s="20" t="inlineStr">
        <is>
          <t>Compliance-driven urgency; trusted intro</t>
        </is>
      </c>
    </row>
    <row r="16" ht="23.25" customHeight="1">
      <c r="A16" s="24" t="inlineStr">
        <is>
          <t>OPP-012</t>
        </is>
      </c>
      <c r="B16" s="24" t="inlineStr">
        <is>
          <t>C012</t>
        </is>
      </c>
      <c r="C16" s="24" t="inlineStr">
        <is>
          <t>Keystone Bank</t>
        </is>
      </c>
      <c r="D16" s="24" t="inlineStr">
        <is>
          <t>Partner Referral</t>
        </is>
      </c>
      <c r="E16" s="24" t="inlineStr">
        <is>
          <t>P007</t>
        </is>
      </c>
      <c r="F16" s="24" t="inlineStr">
        <is>
          <t>Closed Won</t>
        </is>
      </c>
      <c r="G16" s="25" t="n">
        <v>44576</v>
      </c>
      <c r="H16" s="25" t="n">
        <v>44348</v>
      </c>
      <c r="I16" s="25" t="n">
        <v>44367</v>
      </c>
      <c r="J16" s="25" t="n">
        <v>44566</v>
      </c>
      <c r="K16" s="26">
        <f>IFERROR(ROUND((J16-I16)/7,1),"")</f>
        <v/>
      </c>
      <c r="L16" s="27" t="n">
        <v>275000</v>
      </c>
      <c r="M16" s="24">
        <f>TRUE()</f>
        <v/>
      </c>
      <c r="N16" s="24" t="inlineStr">
        <is>
          <t>Long RFP-like process despite partner intro</t>
        </is>
      </c>
    </row>
    <row r="17" ht="15" customHeight="1">
      <c r="A17" s="20" t="inlineStr">
        <is>
          <t>OPP-013</t>
        </is>
      </c>
      <c r="B17" s="20" t="inlineStr">
        <is>
          <t>C013</t>
        </is>
      </c>
      <c r="C17" s="20" t="inlineStr">
        <is>
          <t>Granite Corp</t>
        </is>
      </c>
      <c r="D17" s="20" t="inlineStr">
        <is>
          <t>Inbound Website</t>
        </is>
      </c>
      <c r="E17" s="20" t="inlineStr">
        <is>
          <t>—</t>
        </is>
      </c>
      <c r="F17" s="20" t="inlineStr">
        <is>
          <t>Closed Won</t>
        </is>
      </c>
      <c r="G17" s="21" t="n">
        <v>44788</v>
      </c>
      <c r="H17" s="21" t="n">
        <v>44593</v>
      </c>
      <c r="I17" s="21" t="n">
        <v>44607</v>
      </c>
      <c r="J17" s="21" t="n">
        <v>44774</v>
      </c>
      <c r="K17" s="22">
        <f>IFERROR(ROUND((J17-I17)/7,1),"")</f>
        <v/>
      </c>
      <c r="L17" s="23" t="n">
        <v>165000</v>
      </c>
      <c r="M17" s="20">
        <f>TRUE()</f>
        <v/>
      </c>
      <c r="N17" s="20" t="inlineStr">
        <is>
          <t>Standard inbound; full RFP cycle</t>
        </is>
      </c>
    </row>
    <row r="18" ht="23.25" customHeight="1">
      <c r="A18" s="24" t="inlineStr">
        <is>
          <t>OPP-014</t>
        </is>
      </c>
      <c r="B18" s="24" t="inlineStr">
        <is>
          <t>C014</t>
        </is>
      </c>
      <c r="C18" s="24" t="inlineStr">
        <is>
          <t>Ironclad Systems</t>
        </is>
      </c>
      <c r="D18" s="24" t="inlineStr">
        <is>
          <t>Outbound BDR</t>
        </is>
      </c>
      <c r="E18" s="24" t="inlineStr">
        <is>
          <t>—</t>
        </is>
      </c>
      <c r="F18" s="24" t="inlineStr">
        <is>
          <t>Closed Won</t>
        </is>
      </c>
      <c r="G18" s="25" t="n">
        <v>45005</v>
      </c>
      <c r="H18" s="25" t="n">
        <v>44814</v>
      </c>
      <c r="I18" s="25" t="n">
        <v>44835</v>
      </c>
      <c r="J18" s="25" t="n">
        <v>44990</v>
      </c>
      <c r="K18" s="26">
        <f>IFERROR(ROUND((J18-I18)/7,1),"")</f>
        <v/>
      </c>
      <c r="L18" s="27" t="n">
        <v>230000</v>
      </c>
      <c r="M18" s="24">
        <f>TRUE()</f>
        <v/>
      </c>
      <c r="N18" s="24" t="inlineStr">
        <is>
          <t>Cold outreach; 6-month nurture required</t>
        </is>
      </c>
    </row>
    <row r="19" ht="23.25" customHeight="1">
      <c r="A19" s="20" t="inlineStr">
        <is>
          <t>OPP-015</t>
        </is>
      </c>
      <c r="B19" s="20" t="inlineStr">
        <is>
          <t>C015</t>
        </is>
      </c>
      <c r="C19" s="20" t="inlineStr">
        <is>
          <t>Blue Harbour Inc</t>
        </is>
      </c>
      <c r="D19" s="20" t="inlineStr">
        <is>
          <t>Inbound Event</t>
        </is>
      </c>
      <c r="E19" s="20" t="inlineStr">
        <is>
          <t>—</t>
        </is>
      </c>
      <c r="F19" s="20" t="inlineStr">
        <is>
          <t>Closed Won</t>
        </is>
      </c>
      <c r="G19" s="21" t="n">
        <v>44895</v>
      </c>
      <c r="H19" s="21" t="n">
        <v>44696</v>
      </c>
      <c r="I19" s="21" t="n">
        <v>44713</v>
      </c>
      <c r="J19" s="21" t="n">
        <v>44880</v>
      </c>
      <c r="K19" s="22">
        <f>IFERROR(ROUND((J19-I19)/7,1),"")</f>
        <v/>
      </c>
      <c r="L19" s="23" t="n">
        <v>140000</v>
      </c>
      <c r="M19" s="20">
        <f>TRUE()</f>
        <v/>
      </c>
      <c r="N19" s="20" t="inlineStr">
        <is>
          <t>Met at conference; lengthy POC process</t>
        </is>
      </c>
    </row>
    <row r="20" ht="15" customHeight="1">
      <c r="A20" s="24" t="inlineStr">
        <is>
          <t>OPP-016</t>
        </is>
      </c>
      <c r="B20" s="24" t="inlineStr">
        <is>
          <t>C016</t>
        </is>
      </c>
      <c r="C20" s="24" t="inlineStr">
        <is>
          <t>Silverline Analytics</t>
        </is>
      </c>
      <c r="D20" s="24" t="inlineStr">
        <is>
          <t>Outbound BDR</t>
        </is>
      </c>
      <c r="E20" s="24" t="inlineStr">
        <is>
          <t>—</t>
        </is>
      </c>
      <c r="F20" s="24" t="inlineStr">
        <is>
          <t>Closed Lost</t>
        </is>
      </c>
      <c r="G20" s="25" t="n">
        <v>45078</v>
      </c>
      <c r="H20" s="25" t="n">
        <v>44896</v>
      </c>
      <c r="I20" s="25" t="n">
        <v>44931</v>
      </c>
      <c r="J20" s="25" t="n">
        <v>45061</v>
      </c>
      <c r="K20" s="26">
        <f>IFERROR(ROUND((J20-I20)/7,1),"")</f>
        <v/>
      </c>
      <c r="L20" s="27" t="n">
        <v>195000</v>
      </c>
      <c r="M20" s="24">
        <f>FALSE()</f>
        <v/>
      </c>
      <c r="N20" s="24" t="inlineStr">
        <is>
          <t>Lost to competitor after long eval</t>
        </is>
      </c>
    </row>
    <row r="21" ht="23.25" customHeight="1">
      <c r="A21" s="20" t="inlineStr">
        <is>
          <t>OPP-017</t>
        </is>
      </c>
      <c r="B21" s="20" t="inlineStr">
        <is>
          <t>C017</t>
        </is>
      </c>
      <c r="C21" s="20" t="inlineStr">
        <is>
          <t>Redwood Dynamics</t>
        </is>
      </c>
      <c r="D21" s="20" t="inlineStr">
        <is>
          <t>Inbound Website</t>
        </is>
      </c>
      <c r="E21" s="20" t="inlineStr">
        <is>
          <t>—</t>
        </is>
      </c>
      <c r="F21" s="20" t="inlineStr">
        <is>
          <t>Closed Won</t>
        </is>
      </c>
      <c r="G21" s="21" t="n">
        <v>45179</v>
      </c>
      <c r="H21" s="21" t="n">
        <v>44986</v>
      </c>
      <c r="I21" s="21" t="n">
        <v>45000</v>
      </c>
      <c r="J21" s="21" t="n">
        <v>45166</v>
      </c>
      <c r="K21" s="22">
        <f>IFERROR(ROUND((J21-I21)/7,1),"")</f>
        <v/>
      </c>
      <c r="L21" s="23" t="n">
        <v>110000</v>
      </c>
      <c r="M21" s="20">
        <f>TRUE()</f>
        <v/>
      </c>
      <c r="N21" s="20" t="inlineStr">
        <is>
          <t>Standard pipeline; no partner involvement</t>
        </is>
      </c>
    </row>
    <row r="22" ht="15" customHeight="1">
      <c r="A22" s="24" t="inlineStr">
        <is>
          <t>OPP-018</t>
        </is>
      </c>
      <c r="B22" s="24" t="inlineStr">
        <is>
          <t>C018</t>
        </is>
      </c>
      <c r="C22" s="24" t="inlineStr">
        <is>
          <t>Lakeside Health</t>
        </is>
      </c>
      <c r="D22" s="24" t="inlineStr">
        <is>
          <t>Inbound Webinar</t>
        </is>
      </c>
      <c r="E22" s="24" t="inlineStr">
        <is>
          <t>—</t>
        </is>
      </c>
      <c r="F22" s="24" t="inlineStr">
        <is>
          <t>Closed Lost</t>
        </is>
      </c>
      <c r="G22" s="25" t="n">
        <v>45031</v>
      </c>
      <c r="H22" s="25" t="n">
        <v>44854</v>
      </c>
      <c r="I22" s="25" t="n">
        <v>44875</v>
      </c>
      <c r="J22" s="25" t="n">
        <v>45017</v>
      </c>
      <c r="K22" s="26">
        <f>IFERROR(ROUND((J22-I22)/7,1),"")</f>
        <v/>
      </c>
      <c r="L22" s="27" t="n">
        <v>280000</v>
      </c>
      <c r="M22" s="24">
        <f>FALSE()</f>
        <v/>
      </c>
      <c r="N22" s="24" t="inlineStr">
        <is>
          <t>Lost on pricing after 5-month eval</t>
        </is>
      </c>
    </row>
    <row r="23" ht="23.25" customHeight="1">
      <c r="A23" s="20" t="inlineStr">
        <is>
          <t>OPP-019</t>
        </is>
      </c>
      <c r="B23" s="20" t="inlineStr">
        <is>
          <t>C019</t>
        </is>
      </c>
      <c r="C23" s="20" t="inlineStr">
        <is>
          <t>Nova Retail</t>
        </is>
      </c>
      <c r="D23" s="20" t="inlineStr">
        <is>
          <t>Partner Referral</t>
        </is>
      </c>
      <c r="E23" s="20" t="inlineStr">
        <is>
          <t>P007</t>
        </is>
      </c>
      <c r="F23" s="20" t="inlineStr">
        <is>
          <t>Closed Lost</t>
        </is>
      </c>
      <c r="G23" s="21" t="n">
        <v>45056</v>
      </c>
      <c r="H23" s="21" t="n">
        <v>44941</v>
      </c>
      <c r="I23" s="21" t="n">
        <v>44951</v>
      </c>
      <c r="J23" s="21" t="n">
        <v>45047</v>
      </c>
      <c r="K23" s="22">
        <f>IFERROR(ROUND((J23-I23)/7,1),"")</f>
        <v/>
      </c>
      <c r="L23" s="23" t="n">
        <v>88000</v>
      </c>
      <c r="M23" s="20">
        <f>FALSE()</f>
        <v/>
      </c>
      <c r="N23" s="20" t="inlineStr">
        <is>
          <t>Poor fit; partner referral was speculative</t>
        </is>
      </c>
    </row>
    <row r="24" ht="15" customHeight="1">
      <c r="A24" s="24" t="inlineStr">
        <is>
          <t>OPP-020</t>
        </is>
      </c>
      <c r="B24" s="24" t="inlineStr">
        <is>
          <t>C020</t>
        </is>
      </c>
      <c r="C24" s="24" t="inlineStr">
        <is>
          <t>TerraFirm Mining</t>
        </is>
      </c>
      <c r="D24" s="24" t="inlineStr">
        <is>
          <t>Partner Referral</t>
        </is>
      </c>
      <c r="E24" s="24" t="inlineStr">
        <is>
          <t>P002</t>
        </is>
      </c>
      <c r="F24" s="24" t="inlineStr">
        <is>
          <t>Closed Lost</t>
        </is>
      </c>
      <c r="G24" s="25" t="n">
        <v>45158</v>
      </c>
      <c r="H24" s="25" t="n">
        <v>45021</v>
      </c>
      <c r="I24" s="25" t="n">
        <v>45031</v>
      </c>
      <c r="J24" s="25" t="n">
        <v>45148</v>
      </c>
      <c r="K24" s="26">
        <f>IFERROR(ROUND((J24-I24)/7,1),"")</f>
        <v/>
      </c>
      <c r="L24" s="27" t="n">
        <v>175000</v>
      </c>
      <c r="M24" s="24">
        <f>FALSE()</f>
        <v/>
      </c>
      <c r="N24" s="24" t="inlineStr">
        <is>
          <t>Budget cut mid-cycle</t>
        </is>
      </c>
    </row>
    <row r="25" ht="15" customHeight="1">
      <c r="A25" s="20" t="inlineStr">
        <is>
          <t>OPP-021</t>
        </is>
      </c>
      <c r="B25" s="20" t="inlineStr">
        <is>
          <t>C021</t>
        </is>
      </c>
      <c r="C25" s="20" t="inlineStr">
        <is>
          <t>Radiant Foods</t>
        </is>
      </c>
      <c r="D25" s="20" t="inlineStr">
        <is>
          <t>Partner Referral</t>
        </is>
      </c>
      <c r="E25" s="20" t="inlineStr">
        <is>
          <t>P007</t>
        </is>
      </c>
      <c r="F25" s="20" t="inlineStr">
        <is>
          <t>Closed Won</t>
        </is>
      </c>
      <c r="G25" s="21" t="n">
        <v>44727</v>
      </c>
      <c r="H25" s="21" t="n">
        <v>44621</v>
      </c>
      <c r="I25" s="21" t="n">
        <v>44640</v>
      </c>
      <c r="J25" s="21" t="n">
        <v>44717</v>
      </c>
      <c r="K25" s="22">
        <f>IFERROR(ROUND((J25-I25)/7,1),"")</f>
        <v/>
      </c>
      <c r="L25" s="23" t="n">
        <v>135000</v>
      </c>
      <c r="M25" s="20">
        <f>TRUE()</f>
        <v/>
      </c>
      <c r="N25" s="20" t="inlineStr">
        <is>
          <t>P007 referral; quick close but poor fit</t>
        </is>
      </c>
    </row>
    <row r="26" ht="15" customHeight="1">
      <c r="A26" s="24" t="inlineStr">
        <is>
          <t>OPP-022</t>
        </is>
      </c>
      <c r="B26" s="24" t="inlineStr">
        <is>
          <t>C022</t>
        </is>
      </c>
      <c r="C26" s="24" t="inlineStr">
        <is>
          <t>Maple Industries</t>
        </is>
      </c>
      <c r="D26" s="24" t="inlineStr">
        <is>
          <t>Partner Referral</t>
        </is>
      </c>
      <c r="E26" s="24" t="inlineStr">
        <is>
          <t>P007</t>
        </is>
      </c>
      <c r="F26" s="24" t="inlineStr">
        <is>
          <t>Closed Won</t>
        </is>
      </c>
      <c r="G26" s="25" t="n">
        <v>44814</v>
      </c>
      <c r="H26" s="25" t="n">
        <v>44682</v>
      </c>
      <c r="I26" s="25" t="n">
        <v>44696</v>
      </c>
      <c r="J26" s="25" t="n">
        <v>44805</v>
      </c>
      <c r="K26" s="26">
        <f>IFERROR(ROUND((J26-I26)/7,1),"")</f>
        <v/>
      </c>
      <c r="L26" s="27" t="n">
        <v>98000</v>
      </c>
      <c r="M26" s="24">
        <f>TRUE()</f>
        <v/>
      </c>
      <c r="N26" s="24" t="inlineStr">
        <is>
          <t>P007 referral; limited needs assessment</t>
        </is>
      </c>
    </row>
    <row r="27" ht="15" customHeight="1">
      <c r="A27" s="20" t="inlineStr">
        <is>
          <t>OPP-023</t>
        </is>
      </c>
      <c r="B27" s="28" t="inlineStr">
        <is>
          <t>C023</t>
        </is>
      </c>
      <c r="C27" s="20" t="inlineStr">
        <is>
          <t>Cobalt Services</t>
        </is>
      </c>
      <c r="D27" s="20" t="inlineStr">
        <is>
          <t>Partner Referral</t>
        </is>
      </c>
      <c r="E27" s="20" t="inlineStr">
        <is>
          <t>P007</t>
        </is>
      </c>
      <c r="F27" s="20" t="inlineStr">
        <is>
          <t>Closed Won</t>
        </is>
      </c>
      <c r="G27" s="21" t="n">
        <v>44977</v>
      </c>
      <c r="H27" s="21" t="n">
        <v>44788</v>
      </c>
      <c r="I27" s="21" t="n">
        <v>44805</v>
      </c>
      <c r="J27" s="21" t="n">
        <v>44967</v>
      </c>
      <c r="K27" s="22">
        <f>IFERROR(ROUND((J27-I27)/7,1),"")</f>
        <v/>
      </c>
      <c r="L27" s="23" t="n">
        <v>210000</v>
      </c>
      <c r="M27" s="20">
        <f>TRUE()</f>
        <v/>
      </c>
      <c r="N27" s="20" t="inlineStr">
        <is>
          <t>P007 referral; long evaluation, forced close</t>
        </is>
      </c>
    </row>
    <row r="28" ht="15" customHeight="1">
      <c r="A28" s="24" t="inlineStr">
        <is>
          <t>OPP-024</t>
        </is>
      </c>
      <c r="B28" s="29" t="inlineStr">
        <is>
          <t>C024</t>
        </is>
      </c>
      <c r="C28" s="24" t="inlineStr">
        <is>
          <t>Sterling Group</t>
        </is>
      </c>
      <c r="D28" s="24" t="inlineStr">
        <is>
          <t>Partner Referral</t>
        </is>
      </c>
      <c r="E28" s="24" t="inlineStr">
        <is>
          <t>P007</t>
        </is>
      </c>
      <c r="F28" s="24" t="inlineStr">
        <is>
          <t>Closed Won</t>
        </is>
      </c>
      <c r="G28" s="25" t="n">
        <v>45061</v>
      </c>
      <c r="H28" s="25" t="n">
        <v>44936</v>
      </c>
      <c r="I28" s="25" t="n">
        <v>44951</v>
      </c>
      <c r="J28" s="25" t="n">
        <v>45051</v>
      </c>
      <c r="K28" s="26">
        <f>IFERROR(ROUND((J28-I28)/7,1),"")</f>
        <v/>
      </c>
      <c r="L28" s="27" t="n">
        <v>165000</v>
      </c>
      <c r="M28" s="24">
        <f>TRUE()</f>
        <v/>
      </c>
      <c r="N28" s="24" t="inlineStr">
        <is>
          <t>P007 referral; undersold requirements</t>
        </is>
      </c>
    </row>
    <row r="29" ht="15" customHeight="1">
      <c r="A29" s="20" t="inlineStr">
        <is>
          <t>OPP-025</t>
        </is>
      </c>
      <c r="B29" s="30" t="inlineStr">
        <is>
          <t>C025</t>
        </is>
      </c>
      <c r="C29" s="20" t="inlineStr">
        <is>
          <t>Phoenix Tech</t>
        </is>
      </c>
      <c r="D29" s="20" t="inlineStr">
        <is>
          <t>Partner Referral</t>
        </is>
      </c>
      <c r="E29" s="20" t="inlineStr">
        <is>
          <t>P007</t>
        </is>
      </c>
      <c r="F29" s="20" t="inlineStr">
        <is>
          <t>Closed Won</t>
        </is>
      </c>
      <c r="G29" s="21" t="n">
        <v>45139</v>
      </c>
      <c r="H29" s="21" t="n">
        <v>45000</v>
      </c>
      <c r="I29" s="21" t="n">
        <v>45017</v>
      </c>
      <c r="J29" s="21" t="n">
        <v>45127</v>
      </c>
      <c r="K29" s="22">
        <f>IFERROR(ROUND((J29-I29)/7,1),"")</f>
        <v/>
      </c>
      <c r="L29" s="23" t="n">
        <v>125000</v>
      </c>
      <c r="M29" s="20">
        <f>TRUE()</f>
        <v/>
      </c>
      <c r="N29" s="20" t="inlineStr">
        <is>
          <t>P007 referral; budget-constrained deal</t>
        </is>
      </c>
    </row>
    <row r="30" ht="15" customHeight="1">
      <c r="A30" s="24" t="inlineStr">
        <is>
          <t>OPP-026</t>
        </is>
      </c>
      <c r="B30" s="31" t="inlineStr">
        <is>
          <t>C026</t>
        </is>
      </c>
      <c r="C30" s="24" t="inlineStr">
        <is>
          <t>Iron Bridge Co</t>
        </is>
      </c>
      <c r="D30" s="24" t="inlineStr">
        <is>
          <t>Partner Referral</t>
        </is>
      </c>
      <c r="E30" s="24" t="inlineStr">
        <is>
          <t>P007</t>
        </is>
      </c>
      <c r="F30" s="24" t="inlineStr">
        <is>
          <t>Closed Won</t>
        </is>
      </c>
      <c r="G30" s="25" t="n">
        <v>44915</v>
      </c>
      <c r="H30" s="25" t="n">
        <v>44743</v>
      </c>
      <c r="I30" s="25" t="n">
        <v>44757</v>
      </c>
      <c r="J30" s="25" t="n">
        <v>44905</v>
      </c>
      <c r="K30" s="26">
        <f>IFERROR(ROUND((J30-I30)/7,1),"")</f>
        <v/>
      </c>
      <c r="L30" s="27" t="n">
        <v>88000</v>
      </c>
      <c r="M30" s="24">
        <f>TRUE()</f>
        <v/>
      </c>
      <c r="N30" s="24" t="inlineStr">
        <is>
          <t>P007 referral; minimal discovery</t>
        </is>
      </c>
    </row>
    <row r="31" ht="15" customHeight="1">
      <c r="A31" s="20" t="inlineStr">
        <is>
          <t>OPP-027</t>
        </is>
      </c>
      <c r="B31" s="32" t="inlineStr">
        <is>
          <t>C027</t>
        </is>
      </c>
      <c r="C31" s="20" t="inlineStr">
        <is>
          <t>Delta Stream</t>
        </is>
      </c>
      <c r="D31" s="20" t="inlineStr">
        <is>
          <t>Partner Referral</t>
        </is>
      </c>
      <c r="E31" s="20" t="inlineStr">
        <is>
          <t>P007</t>
        </is>
      </c>
      <c r="F31" s="20" t="inlineStr">
        <is>
          <t>Closed Lost</t>
        </is>
      </c>
      <c r="G31" s="21" t="n">
        <v>45017</v>
      </c>
      <c r="H31" s="21" t="n">
        <v>44835</v>
      </c>
      <c r="I31" s="21" t="n">
        <v>44854</v>
      </c>
      <c r="J31" s="21" t="n">
        <v>45000</v>
      </c>
      <c r="K31" s="22">
        <f>IFERROR(ROUND((J31-I31)/7,1),"")</f>
        <v/>
      </c>
      <c r="L31" s="23" t="n">
        <v>190000</v>
      </c>
      <c r="M31" s="20">
        <f>FALSE()</f>
        <v/>
      </c>
      <c r="N31" s="20" t="inlineStr">
        <is>
          <t>P007 referral; lost on fit</t>
        </is>
      </c>
    </row>
    <row r="32" ht="15" customHeight="1">
      <c r="A32" s="24" t="inlineStr">
        <is>
          <t>OPP-028</t>
        </is>
      </c>
      <c r="B32" s="33" t="inlineStr">
        <is>
          <t>C028</t>
        </is>
      </c>
      <c r="C32" s="24" t="inlineStr">
        <is>
          <t>Quartz Systems</t>
        </is>
      </c>
      <c r="D32" s="24" t="inlineStr">
        <is>
          <t>Partner Referral</t>
        </is>
      </c>
      <c r="E32" s="24" t="inlineStr">
        <is>
          <t>P007</t>
        </is>
      </c>
      <c r="F32" s="24" t="inlineStr">
        <is>
          <t>Closed Lost</t>
        </is>
      </c>
      <c r="G32" s="25" t="n">
        <v>45122</v>
      </c>
      <c r="H32" s="25" t="n">
        <v>44958</v>
      </c>
      <c r="I32" s="25" t="n">
        <v>44977</v>
      </c>
      <c r="J32" s="25" t="n">
        <v>45108</v>
      </c>
      <c r="K32" s="26">
        <f>IFERROR(ROUND((J32-I32)/7,1),"")</f>
        <v/>
      </c>
      <c r="L32" s="27" t="n">
        <v>145000</v>
      </c>
      <c r="M32" s="24">
        <f>FALSE()</f>
        <v/>
      </c>
      <c r="N32" s="24" t="inlineStr">
        <is>
          <t>P007 referral; competitor won</t>
        </is>
      </c>
    </row>
    <row r="33" ht="15" customHeight="1">
      <c r="A33" s="20" t="inlineStr">
        <is>
          <t>OPP-029</t>
        </is>
      </c>
      <c r="B33" s="34" t="inlineStr">
        <is>
          <t>C029</t>
        </is>
      </c>
      <c r="C33" s="20" t="inlineStr">
        <is>
          <t>Vertex Analytics</t>
        </is>
      </c>
      <c r="D33" s="20" t="inlineStr">
        <is>
          <t>Partner Referral</t>
        </is>
      </c>
      <c r="E33" s="20" t="inlineStr">
        <is>
          <t>P001</t>
        </is>
      </c>
      <c r="F33" s="20" t="inlineStr">
        <is>
          <t>Closed Won</t>
        </is>
      </c>
      <c r="G33" s="21" t="n">
        <v>44986</v>
      </c>
      <c r="H33" s="21" t="n">
        <v>44931</v>
      </c>
      <c r="I33" s="21" t="n">
        <v>44938</v>
      </c>
      <c r="J33" s="21" t="n">
        <v>44982</v>
      </c>
      <c r="K33" s="22">
        <f>IFERROR(ROUND((J33-I33)/7,1),"")</f>
        <v/>
      </c>
      <c r="L33" s="23" t="n">
        <v>285000</v>
      </c>
      <c r="M33" s="20">
        <f>TRUE()</f>
        <v/>
      </c>
      <c r="N33" s="20" t="inlineStr">
        <is>
          <t>Apex deep-fit referral; fast close</t>
        </is>
      </c>
    </row>
    <row r="34" ht="15" customHeight="1">
      <c r="A34" s="24" t="inlineStr">
        <is>
          <t>OPP-030</t>
        </is>
      </c>
      <c r="B34" s="35" t="inlineStr">
        <is>
          <t>C030</t>
        </is>
      </c>
      <c r="C34" s="24" t="inlineStr">
        <is>
          <t>Clearview Health</t>
        </is>
      </c>
      <c r="D34" s="24" t="inlineStr">
        <is>
          <t>Partner Referral</t>
        </is>
      </c>
      <c r="E34" s="24" t="inlineStr">
        <is>
          <t>P001</t>
        </is>
      </c>
      <c r="F34" s="24" t="inlineStr">
        <is>
          <t>Closed Won</t>
        </is>
      </c>
      <c r="G34" s="25" t="n">
        <v>45092</v>
      </c>
      <c r="H34" s="25" t="n">
        <v>45017</v>
      </c>
      <c r="I34" s="25" t="n">
        <v>45024</v>
      </c>
      <c r="J34" s="25" t="n">
        <v>45087</v>
      </c>
      <c r="K34" s="26">
        <f>IFERROR(ROUND((J34-I34)/7,1),"")</f>
        <v/>
      </c>
      <c r="L34" s="27" t="n">
        <v>320000</v>
      </c>
      <c r="M34" s="24">
        <f>TRUE()</f>
        <v/>
      </c>
      <c r="N34" s="24" t="inlineStr">
        <is>
          <t>Apex board-level intro; excellent fit</t>
        </is>
      </c>
    </row>
    <row r="35" ht="15" customHeight="1">
      <c r="A35" s="20" t="inlineStr">
        <is>
          <t>OPP-031</t>
        </is>
      </c>
      <c r="B35" s="20" t="inlineStr">
        <is>
          <t>C031</t>
        </is>
      </c>
      <c r="C35" s="20" t="inlineStr">
        <is>
          <t>Northwind Corp</t>
        </is>
      </c>
      <c r="D35" s="20" t="inlineStr">
        <is>
          <t>Inbound Website</t>
        </is>
      </c>
      <c r="E35" s="20" t="inlineStr">
        <is>
          <t>—</t>
        </is>
      </c>
      <c r="F35" s="20" t="inlineStr">
        <is>
          <t>Closed Won</t>
        </is>
      </c>
      <c r="G35" s="21" t="n">
        <v>45066</v>
      </c>
      <c r="H35" s="21" t="n">
        <v>44866</v>
      </c>
      <c r="I35" s="21" t="n">
        <v>44880</v>
      </c>
      <c r="J35" s="21" t="n">
        <v>45051</v>
      </c>
      <c r="K35" s="22">
        <f>IFERROR(ROUND((J35-I35)/7,1),"")</f>
        <v/>
      </c>
      <c r="L35" s="23" t="n">
        <v>175000</v>
      </c>
      <c r="M35" s="20">
        <f>TRUE()</f>
        <v/>
      </c>
      <c r="N35" s="20" t="inlineStr">
        <is>
          <t>Standard inbound; long cycle</t>
        </is>
      </c>
    </row>
    <row r="36" ht="15" customHeight="1">
      <c r="A36" s="24" t="inlineStr">
        <is>
          <t>OPP-032</t>
        </is>
      </c>
      <c r="B36" s="24" t="inlineStr">
        <is>
          <t>C032</t>
        </is>
      </c>
      <c r="C36" s="24" t="inlineStr">
        <is>
          <t>Eastside Digital</t>
        </is>
      </c>
      <c r="D36" s="24" t="inlineStr">
        <is>
          <t>Outbound BDR</t>
        </is>
      </c>
      <c r="E36" s="24" t="inlineStr">
        <is>
          <t>—</t>
        </is>
      </c>
      <c r="F36" s="24" t="inlineStr">
        <is>
          <t>Closed Won</t>
        </is>
      </c>
      <c r="G36" s="25" t="n">
        <v>45199</v>
      </c>
      <c r="H36" s="25" t="n">
        <v>44986</v>
      </c>
      <c r="I36" s="25" t="n">
        <v>45005</v>
      </c>
      <c r="J36" s="25" t="n">
        <v>45184</v>
      </c>
      <c r="K36" s="26">
        <f>IFERROR(ROUND((J36-I36)/7,1),"")</f>
        <v/>
      </c>
      <c r="L36" s="27" t="n">
        <v>155000</v>
      </c>
      <c r="M36" s="24">
        <f>TRUE()</f>
        <v/>
      </c>
      <c r="N36" s="24" t="inlineStr">
        <is>
          <t>Cold outreach; extended nurture</t>
        </is>
      </c>
    </row>
    <row r="37" ht="15" customHeight="1">
      <c r="A37" s="20" t="inlineStr">
        <is>
          <t>OPP-033</t>
        </is>
      </c>
      <c r="B37" s="20" t="inlineStr">
        <is>
          <t>C033</t>
        </is>
      </c>
      <c r="C37" s="20" t="inlineStr">
        <is>
          <t>Waveline Media</t>
        </is>
      </c>
      <c r="D37" s="20" t="inlineStr">
        <is>
          <t>Inbound Event</t>
        </is>
      </c>
      <c r="E37" s="20" t="inlineStr">
        <is>
          <t>—</t>
        </is>
      </c>
      <c r="F37" s="20" t="inlineStr">
        <is>
          <t>Closed Lost</t>
        </is>
      </c>
      <c r="G37" s="21" t="n">
        <v>45108</v>
      </c>
      <c r="H37" s="21" t="n">
        <v>44936</v>
      </c>
      <c r="I37" s="21" t="n">
        <v>44958</v>
      </c>
      <c r="J37" s="21" t="n">
        <v>45092</v>
      </c>
      <c r="K37" s="22">
        <f>IFERROR(ROUND((J37-I37)/7,1),"")</f>
        <v/>
      </c>
      <c r="L37" s="23" t="n">
        <v>200000</v>
      </c>
      <c r="M37" s="20">
        <f>FALSE()</f>
        <v/>
      </c>
      <c r="N37" s="20" t="inlineStr">
        <is>
          <t>Lost after long RFP</t>
        </is>
      </c>
    </row>
    <row r="38" ht="15" customHeight="1">
      <c r="A38" s="24" t="inlineStr">
        <is>
          <t>OPP-034</t>
        </is>
      </c>
      <c r="B38" s="24" t="inlineStr">
        <is>
          <t>C034</t>
        </is>
      </c>
      <c r="C38" s="24" t="inlineStr">
        <is>
          <t>Brightfield Inc</t>
        </is>
      </c>
      <c r="D38" s="24" t="inlineStr">
        <is>
          <t>Outbound BDR</t>
        </is>
      </c>
      <c r="E38" s="24" t="inlineStr">
        <is>
          <t>—</t>
        </is>
      </c>
      <c r="F38" s="24" t="inlineStr">
        <is>
          <t>Closed Lost</t>
        </is>
      </c>
      <c r="G38" s="25" t="n">
        <v>45231</v>
      </c>
      <c r="H38" s="25" t="n">
        <v>45047</v>
      </c>
      <c r="I38" s="25" t="n">
        <v>45066</v>
      </c>
      <c r="J38" s="25" t="n">
        <v>45214</v>
      </c>
      <c r="K38" s="26">
        <f>IFERROR(ROUND((J38-I38)/7,1),"")</f>
        <v/>
      </c>
      <c r="L38" s="27" t="n">
        <v>130000</v>
      </c>
      <c r="M38" s="24">
        <f>FALSE()</f>
        <v/>
      </c>
      <c r="N38" s="24" t="inlineStr">
        <is>
          <t>Lost on integration concerns</t>
        </is>
      </c>
    </row>
    <row r="40" ht="15" customHeight="1">
      <c r="A40" s="91" t="inlineStr">
        <is>
          <t>Discovery Speed Comparison</t>
        </is>
      </c>
    </row>
    <row r="41" ht="15" customHeight="1">
      <c r="A41" s="98" t="inlineStr">
        <is>
          <t>Avg Discovery Weeks (Partner-Sourced, Won)</t>
        </is>
      </c>
      <c r="B41" s="36">
        <f>AVERAGEIFS(K5:K38,D5:D38,"Partner Referral",M5:M38,TRUE())</f>
        <v/>
      </c>
    </row>
    <row r="42" ht="15" customHeight="1">
      <c r="A42" s="98" t="inlineStr">
        <is>
          <t>Avg Discovery Weeks (Non-Partner, Won)</t>
        </is>
      </c>
      <c r="B42" s="36">
        <f>AVERAGEIFS(K5:K38,D5:D38,"&lt;&gt;Partner Referral",M5:M38,TRUE())</f>
        <v/>
      </c>
    </row>
    <row r="43" ht="15" customHeight="1">
      <c r="A43" s="98" t="inlineStr">
        <is>
          <t>CDE Ratio (Non-Partner / Partner)</t>
        </is>
      </c>
      <c r="B43" s="37">
        <f>IFERROR(B42/B41,"")</f>
        <v/>
      </c>
    </row>
    <row r="44" ht="15" customHeight="1">
      <c r="A44" s="98" t="inlineStr">
        <is>
          <t>Partner-Sourced Win Rate</t>
        </is>
      </c>
      <c r="B44" s="38">
        <f>COUNTIFS(D5:D38,"Partner Referral",M5:M38,TRUE())/COUNTIF(D5:D38,"Partner Referral")</f>
        <v/>
      </c>
    </row>
    <row r="45" ht="15" customHeight="1">
      <c r="A45" s="98" t="inlineStr">
        <is>
          <t>Non-Partner Win Rate</t>
        </is>
      </c>
      <c r="B45" s="38">
        <f>COUNTIFS(D5:D38,"&lt;&gt;Partner Referral",M5:M38,TRUE())/COUNTIF(D5:D38,"&lt;&gt;Partner Referral")</f>
        <v/>
      </c>
    </row>
    <row r="46" ht="15" customHeight="1">
      <c r="A46" s="98" t="inlineStr">
        <is>
          <t>Trust Transfer Index (Overall)</t>
        </is>
      </c>
      <c r="B46" s="37">
        <f>IFERROR(B44/B45,"")</f>
        <v/>
      </c>
    </row>
    <row r="47" ht="15" customHeight="1">
      <c r="A47" s="98" t="inlineStr">
        <is>
          <t>Total Partner-Sourced Deals</t>
        </is>
      </c>
      <c r="B47" s="39">
        <f>COUNTIF(D5:D38,"Partner Referral")</f>
        <v/>
      </c>
    </row>
    <row r="48" ht="15" customHeight="1">
      <c r="A48" s="98" t="inlineStr">
        <is>
          <t>Total Non-Partner Deals</t>
        </is>
      </c>
      <c r="B48" s="39">
        <f>COUNTIF(D5:D38,"&lt;&gt;Partner Referral")</f>
        <v/>
      </c>
    </row>
    <row r="49" ht="15" customHeight="1">
      <c r="A49" s="98" t="inlineStr">
        <is>
          <t>P007 (PrimeAdvisory) Deals Won</t>
        </is>
      </c>
      <c r="B49" s="39">
        <f>COUNTIFS(E5:E38,"P007",M5:M38,TRUE())</f>
        <v/>
      </c>
    </row>
    <row r="50" ht="15" customHeight="1">
      <c r="A50" s="98" t="inlineStr">
        <is>
          <t>P007 (PrimeAdvisory) Win Rate</t>
        </is>
      </c>
      <c r="B50" s="38">
        <f>IFERROR(COUNTIFS(E5:E38,"P007",M5:M38,TRUE())/COUNTIF(E5:E38,"P007"),"")</f>
        <v/>
      </c>
    </row>
    <row r="51" ht="15" customHeight="1">
      <c r="A51" s="98" t="inlineStr">
        <is>
          <t>P001 (Apex) Deals Won</t>
        </is>
      </c>
      <c r="B51" s="39">
        <f>COUNTIFS(E5:E38,"P001",M5:M38,TRUE())</f>
        <v/>
      </c>
    </row>
    <row r="52" ht="15" customHeight="1">
      <c r="A52" s="98" t="inlineStr">
        <is>
          <t>P001 (Apex) Win Rate</t>
        </is>
      </c>
      <c r="B52" s="38">
        <f>IFERROR(COUNTIFS(E5:E38,"P001",M5:M38,TRUE())/COUNTIF(E5:E38,"P001"),"")</f>
        <v/>
      </c>
    </row>
  </sheetData>
  <mergeCells count="1">
    <mergeCell ref="A40:D40"/>
  </mergeCells>
  <pageMargins left="0.75" right="0.75" top="1" bottom="1" header="0.511811023622047" footer="0.511811023622047"/>
  <pageSetup orientation="portrait" paperSize="9" horizontalDpi="300" verticalDpi="300"/>
</worksheet>
</file>

<file path=xl/worksheets/sheet6.xml><?xml version="1.0" encoding="utf-8"?>
<worksheet xmlns="http://schemas.openxmlformats.org/spreadsheetml/2006/main">
  <sheetPr>
    <tabColor rgb="FF3498DB"/>
    <outlinePr summaryBelow="1" summaryRight="1"/>
    <pageSetUpPr/>
  </sheetPr>
  <dimension ref="A1:O121"/>
  <sheetViews>
    <sheetView zoomScaleNormal="100" workbookViewId="0">
      <selection activeCell="A1" sqref="A1:L1"/>
    </sheetView>
  </sheetViews>
  <sheetFormatPr baseColWidth="8" defaultColWidth="8.7109375" defaultRowHeight="15"/>
  <cols>
    <col width="12" customWidth="1" min="1" max="2"/>
    <col width="22" customWidth="1" min="3" max="3"/>
    <col width="12" customWidth="1" min="4" max="4"/>
    <col width="22" customWidth="1" min="5" max="5"/>
    <col width="14" customWidth="1" min="6" max="6"/>
    <col width="22" customWidth="1" min="7" max="7"/>
    <col width="12" customWidth="1" min="8" max="10"/>
    <col width="18" customWidth="1" min="11" max="11"/>
    <col width="32" customWidth="1" min="12" max="12"/>
    <col width="18" customWidth="1" min="13" max="13"/>
    <col width="16" customWidth="1" min="14" max="14"/>
    <col width="18" customWidth="1" min="15" max="15"/>
  </cols>
  <sheetData>
    <row r="1" ht="17.25" customHeight="1">
      <c r="A1" s="93" t="inlineStr">
        <is>
          <t>Partner Engagement Log</t>
        </is>
      </c>
    </row>
    <row r="2" ht="15" customHeight="1">
      <c r="A2" s="94" t="inlineStr">
        <is>
          <t>Tracks every partner engagement across the customer lifecycle. The Delivery Assurance Score rates the quality of each partner interaction, validated against Customer Satisfaction Surveys: 'Survey-validated' = score pulled directly from the linked survey's Partner Satisfaction rating. 'Survey-derived' = average partner satisfaction for this customer+partner combination. 'Internal Estimate' = no survey data; manual assessment.</t>
        </is>
      </c>
    </row>
    <row r="4" ht="26.25" customHeight="1">
      <c r="A4" s="5" t="inlineStr">
        <is>
          <t>Engagement ID</t>
        </is>
      </c>
      <c r="B4" s="5" t="inlineStr">
        <is>
          <t>Customer ID</t>
        </is>
      </c>
      <c r="C4" s="5" t="inlineStr">
        <is>
          <t>Customer Name</t>
        </is>
      </c>
      <c r="D4" s="5" t="inlineStr">
        <is>
          <t>Partner ID</t>
        </is>
      </c>
      <c r="E4" s="5" t="inlineStr">
        <is>
          <t>Partner Name</t>
        </is>
      </c>
      <c r="F4" s="5" t="inlineStr">
        <is>
          <t>Lifecycle Stage</t>
        </is>
      </c>
      <c r="G4" s="5" t="inlineStr">
        <is>
          <t>Engagement Type</t>
        </is>
      </c>
      <c r="H4" s="5" t="inlineStr">
        <is>
          <t>Date</t>
        </is>
      </c>
      <c r="I4" s="5" t="inlineStr">
        <is>
          <t>Delivery Assurance
Score (1-10)</t>
        </is>
      </c>
      <c r="J4" s="5" t="inlineStr">
        <is>
          <t>Hours Invested</t>
        </is>
      </c>
      <c r="K4" s="5" t="inlineStr">
        <is>
          <t>Outcome</t>
        </is>
      </c>
      <c r="L4" s="5" t="inlineStr">
        <is>
          <t>Notes</t>
        </is>
      </c>
      <c r="M4" s="5" t="inlineStr">
        <is>
          <t>Assurance Source</t>
        </is>
      </c>
      <c r="N4" s="5" t="inlineStr">
        <is>
          <t>Linked Survey ID</t>
        </is>
      </c>
      <c r="O4" s="5" t="inlineStr">
        <is>
          <t>Source of record</t>
        </is>
      </c>
    </row>
    <row r="5" ht="23.25" customHeight="1">
      <c r="A5" s="20" t="inlineStr">
        <is>
          <t>ENG-001</t>
        </is>
      </c>
      <c r="B5" s="20" t="inlineStr">
        <is>
          <t>C001</t>
        </is>
      </c>
      <c r="C5" s="20" t="inlineStr">
        <is>
          <t>Meridian Healthcare</t>
        </is>
      </c>
      <c r="D5" s="20" t="inlineStr">
        <is>
          <t>P001</t>
        </is>
      </c>
      <c r="E5" s="20" t="inlineStr">
        <is>
          <t>Apex Consulting</t>
        </is>
      </c>
      <c r="F5" s="20" t="inlineStr">
        <is>
          <t>Acquisition</t>
        </is>
      </c>
      <c r="G5" s="20" t="inlineStr">
        <is>
          <t>Referral Introduction</t>
        </is>
      </c>
      <c r="H5" s="21" t="n">
        <v>44562</v>
      </c>
      <c r="I5" s="40">
        <f>'Survey Results'!L8</f>
        <v/>
      </c>
      <c r="J5" s="34" t="n">
        <v>8</v>
      </c>
      <c r="K5" s="20" t="inlineStr">
        <is>
          <t>Positive impact</t>
        </is>
      </c>
      <c r="L5" s="20" t="inlineStr">
        <is>
          <t>Acquisition engagement with Apex Consulting</t>
        </is>
      </c>
      <c r="M5" s="41" t="inlineStr">
        <is>
          <t>Survey-validated</t>
        </is>
      </c>
      <c r="N5" s="9">
        <f>'Survey Results'!A8</f>
        <v/>
      </c>
      <c r="O5" s="20" t="inlineStr">
        <is>
          <t>CRM</t>
        </is>
      </c>
    </row>
    <row r="6" ht="23.25" customHeight="1">
      <c r="A6" s="24" t="inlineStr">
        <is>
          <t>ENG-002</t>
        </is>
      </c>
      <c r="B6" s="24" t="inlineStr">
        <is>
          <t>C001</t>
        </is>
      </c>
      <c r="C6" s="24" t="inlineStr">
        <is>
          <t>Meridian Healthcare</t>
        </is>
      </c>
      <c r="D6" s="24" t="inlineStr">
        <is>
          <t>P003</t>
        </is>
      </c>
      <c r="E6" s="24" t="inlineStr">
        <is>
          <t>DataForce Services</t>
        </is>
      </c>
      <c r="F6" s="24" t="inlineStr">
        <is>
          <t>Onboarding</t>
        </is>
      </c>
      <c r="G6" s="24" t="inlineStr">
        <is>
          <t>Technical Setup</t>
        </is>
      </c>
      <c r="H6" s="25" t="n">
        <v>44610</v>
      </c>
      <c r="I6" s="42">
        <f>IF(COUNTIFS('Survey Results'!B$5:B$52,B6,'Survey Results'!D$5:D$52,D6)=0,10,ROUND(SUMIFS('Survey Results'!L$5:L$52,'Survey Results'!B$5:B$52,B6,'Survey Results'!D$5:D$52,D6)/COUNTIFS('Survey Results'!B$5:B$52,B6,'Survey Results'!D$5:D$52,D6),0))</f>
        <v/>
      </c>
      <c r="J6" s="35" t="n">
        <v>4</v>
      </c>
      <c r="K6" s="24" t="inlineStr">
        <is>
          <t>Objective met</t>
        </is>
      </c>
      <c r="L6" s="24" t="inlineStr">
        <is>
          <t>Onboarding engagement with DataForce Services</t>
        </is>
      </c>
      <c r="M6" s="9">
        <f>IF(COUNTIFS('Survey Results'!B$5:B$52,B6,'Survey Results'!D$5:D$52,D6)&gt;0,"Survey-derived","Internal Estimate")</f>
        <v/>
      </c>
      <c r="N6" s="43" t="inlineStr">
        <is>
          <t>—</t>
        </is>
      </c>
      <c r="O6" s="24" t="inlineStr">
        <is>
          <t>PSA</t>
        </is>
      </c>
    </row>
    <row r="7" ht="23.25" customHeight="1">
      <c r="A7" s="20" t="inlineStr">
        <is>
          <t>ENG-003</t>
        </is>
      </c>
      <c r="B7" s="20" t="inlineStr">
        <is>
          <t>C001</t>
        </is>
      </c>
      <c r="C7" s="20" t="inlineStr">
        <is>
          <t>Meridian Healthcare</t>
        </is>
      </c>
      <c r="D7" s="20" t="inlineStr">
        <is>
          <t>P003</t>
        </is>
      </c>
      <c r="E7" s="20" t="inlineStr">
        <is>
          <t>DataForce Services</t>
        </is>
      </c>
      <c r="F7" s="20" t="inlineStr">
        <is>
          <t>Adoption</t>
        </is>
      </c>
      <c r="G7" s="20" t="inlineStr">
        <is>
          <t>Adoption Check-in</t>
        </is>
      </c>
      <c r="H7" s="21" t="n">
        <v>44653</v>
      </c>
      <c r="I7" s="40">
        <f>'Survey Results'!L6</f>
        <v/>
      </c>
      <c r="J7" s="34" t="n">
        <v>4</v>
      </c>
      <c r="K7" s="20" t="inlineStr">
        <is>
          <t>Positive impact</t>
        </is>
      </c>
      <c r="L7" s="20" t="inlineStr">
        <is>
          <t>Adoption engagement with DataForce Services</t>
        </is>
      </c>
      <c r="M7" s="41" t="inlineStr">
        <is>
          <t>Survey-validated</t>
        </is>
      </c>
      <c r="N7" s="9">
        <f>'Survey Results'!A6</f>
        <v/>
      </c>
      <c r="O7" s="20" t="inlineStr">
        <is>
          <t>Nowhere</t>
        </is>
      </c>
    </row>
    <row r="8" ht="23.25" customHeight="1">
      <c r="A8" s="24" t="inlineStr">
        <is>
          <t>ENG-004</t>
        </is>
      </c>
      <c r="B8" s="24" t="inlineStr">
        <is>
          <t>C001</t>
        </is>
      </c>
      <c r="C8" s="24" t="inlineStr">
        <is>
          <t>Meridian Healthcare</t>
        </is>
      </c>
      <c r="D8" s="24" t="inlineStr">
        <is>
          <t>P009</t>
        </is>
      </c>
      <c r="E8" s="24" t="inlineStr">
        <is>
          <t>Northstar Advisory</t>
        </is>
      </c>
      <c r="F8" s="24" t="inlineStr">
        <is>
          <t>Adoption</t>
        </is>
      </c>
      <c r="G8" s="24" t="inlineStr">
        <is>
          <t>Best Practice Review</t>
        </is>
      </c>
      <c r="H8" s="25" t="n">
        <v>44713</v>
      </c>
      <c r="I8" s="42">
        <f>IF(COUNTIFS('Survey Results'!B$5:B$52,B8,'Survey Results'!D$5:D$52,D8)=0,10,ROUND(SUMIFS('Survey Results'!L$5:L$52,'Survey Results'!B$5:B$52,B8,'Survey Results'!D$5:D$52,D8)/COUNTIFS('Survey Results'!B$5:B$52,B8,'Survey Results'!D$5:D$52,D8),0))</f>
        <v/>
      </c>
      <c r="J8" s="35" t="n">
        <v>2</v>
      </c>
      <c r="K8" s="24" t="inlineStr">
        <is>
          <t>Objective met</t>
        </is>
      </c>
      <c r="L8" s="24" t="inlineStr">
        <is>
          <t>Adoption engagement with ScaleUp Managed</t>
        </is>
      </c>
      <c r="M8" s="9">
        <f>IF(COUNTIFS('Survey Results'!B$5:B$52,B8,'Survey Results'!D$5:D$52,D8)&gt;0,"Survey-derived","Internal Estimate")</f>
        <v/>
      </c>
      <c r="N8" s="43" t="inlineStr">
        <is>
          <t>—</t>
        </is>
      </c>
      <c r="O8" s="24" t="inlineStr">
        <is>
          <t>Nowhere</t>
        </is>
      </c>
    </row>
    <row r="9" ht="23.25" customHeight="1">
      <c r="A9" s="20" t="inlineStr">
        <is>
          <t>ENG-005</t>
        </is>
      </c>
      <c r="B9" s="20" t="inlineStr">
        <is>
          <t>C001</t>
        </is>
      </c>
      <c r="C9" s="20" t="inlineStr">
        <is>
          <t>Meridian Healthcare</t>
        </is>
      </c>
      <c r="D9" s="20" t="inlineStr">
        <is>
          <t>P009</t>
        </is>
      </c>
      <c r="E9" s="20" t="inlineStr">
        <is>
          <t>Northstar Advisory</t>
        </is>
      </c>
      <c r="F9" s="20" t="inlineStr">
        <is>
          <t>Retention</t>
        </is>
      </c>
      <c r="G9" s="20" t="inlineStr">
        <is>
          <t>Health Check</t>
        </is>
      </c>
      <c r="H9" s="21" t="n">
        <v>44762</v>
      </c>
      <c r="I9" s="40">
        <f>IF(COUNTIFS('Survey Results'!B$5:B$52,B9,'Survey Results'!D$5:D$52,D9)=0,10,ROUND(SUMIFS('Survey Results'!L$5:L$52,'Survey Results'!B$5:B$52,B9,'Survey Results'!D$5:D$52,D9)/COUNTIFS('Survey Results'!B$5:B$52,B9,'Survey Results'!D$5:D$52,D9),0))</f>
        <v/>
      </c>
      <c r="J9" s="34" t="n">
        <v>16</v>
      </c>
      <c r="K9" s="20" t="inlineStr">
        <is>
          <t>Positive impact</t>
        </is>
      </c>
      <c r="L9" s="20" t="inlineStr">
        <is>
          <t>Retention engagement with ScaleUp Managed</t>
        </is>
      </c>
      <c r="M9" s="9">
        <f>IF(COUNTIFS('Survey Results'!B$5:B$52,B9,'Survey Results'!D$5:D$52,D9)&gt;0,"Survey-derived","Internal Estimate")</f>
        <v/>
      </c>
      <c r="N9" s="43" t="inlineStr">
        <is>
          <t>—</t>
        </is>
      </c>
      <c r="O9" s="20" t="inlineStr">
        <is>
          <t>Nowhere</t>
        </is>
      </c>
    </row>
    <row r="10" ht="23.25" customHeight="1">
      <c r="A10" s="24" t="inlineStr">
        <is>
          <t>ENG-006</t>
        </is>
      </c>
      <c r="B10" s="24" t="inlineStr">
        <is>
          <t>C001</t>
        </is>
      </c>
      <c r="C10" s="24" t="inlineStr">
        <is>
          <t>Meridian Healthcare</t>
        </is>
      </c>
      <c r="D10" s="24" t="inlineStr">
        <is>
          <t>P001</t>
        </is>
      </c>
      <c r="E10" s="24" t="inlineStr">
        <is>
          <t>Apex Consulting</t>
        </is>
      </c>
      <c r="F10" s="24" t="inlineStr">
        <is>
          <t>Expansion</t>
        </is>
      </c>
      <c r="G10" s="24" t="inlineStr">
        <is>
          <t>Expansion Proposal</t>
        </is>
      </c>
      <c r="H10" s="25" t="n">
        <v>44805</v>
      </c>
      <c r="I10" s="42">
        <f>IF(COUNTIFS('Survey Results'!B$5:B$52,B10,'Survey Results'!D$5:D$52,D10)=0,8,ROUND(SUMIFS('Survey Results'!L$5:L$52,'Survey Results'!B$5:B$52,B10,'Survey Results'!D$5:D$52,D10)/COUNTIFS('Survey Results'!B$5:B$52,B10,'Survey Results'!D$5:D$52,D10),0))</f>
        <v/>
      </c>
      <c r="J10" s="35" t="n">
        <v>2</v>
      </c>
      <c r="K10" s="24" t="inlineStr">
        <is>
          <t>Positive impact</t>
        </is>
      </c>
      <c r="L10" s="24" t="inlineStr">
        <is>
          <t>Expansion engagement with Apex Consulting</t>
        </is>
      </c>
      <c r="M10" s="9">
        <f>IF(COUNTIFS('Survey Results'!B$5:B$52,B10,'Survey Results'!D$5:D$52,D10)&gt;0,"Survey-derived","Internal Estimate")</f>
        <v/>
      </c>
      <c r="N10" s="43" t="inlineStr">
        <is>
          <t>—</t>
        </is>
      </c>
      <c r="O10" s="24" t="inlineStr">
        <is>
          <t>Nowhere</t>
        </is>
      </c>
    </row>
    <row r="11" ht="23.25" customHeight="1">
      <c r="A11" s="20" t="inlineStr">
        <is>
          <t>ENG-007</t>
        </is>
      </c>
      <c r="B11" s="20" t="inlineStr">
        <is>
          <t>C001</t>
        </is>
      </c>
      <c r="C11" s="20" t="inlineStr">
        <is>
          <t>Meridian Healthcare</t>
        </is>
      </c>
      <c r="D11" s="20" t="inlineStr">
        <is>
          <t>P001</t>
        </is>
      </c>
      <c r="E11" s="20" t="inlineStr">
        <is>
          <t>Apex Consulting</t>
        </is>
      </c>
      <c r="F11" s="20" t="inlineStr">
        <is>
          <t>Advocacy</t>
        </is>
      </c>
      <c r="G11" s="20" t="inlineStr">
        <is>
          <t>Peer Referral</t>
        </is>
      </c>
      <c r="H11" s="21" t="n">
        <v>44842</v>
      </c>
      <c r="I11" s="40">
        <f>'Survey Results'!L5</f>
        <v/>
      </c>
      <c r="J11" s="34" t="n">
        <v>2</v>
      </c>
      <c r="K11" s="20" t="inlineStr">
        <is>
          <t>Positive impact</t>
        </is>
      </c>
      <c r="L11" s="20" t="inlineStr">
        <is>
          <t>Advocacy engagement with Apex Consulting</t>
        </is>
      </c>
      <c r="M11" s="41" t="inlineStr">
        <is>
          <t>Survey-validated</t>
        </is>
      </c>
      <c r="N11" s="9">
        <f>'Survey Results'!A5</f>
        <v/>
      </c>
      <c r="O11" s="20" t="inlineStr">
        <is>
          <t>CRM</t>
        </is>
      </c>
    </row>
    <row r="12" ht="15" customHeight="1">
      <c r="A12" s="24" t="inlineStr">
        <is>
          <t>ENG-008</t>
        </is>
      </c>
      <c r="B12" s="24" t="inlineStr">
        <is>
          <t>C001</t>
        </is>
      </c>
      <c r="C12" s="24" t="inlineStr">
        <is>
          <t>Meridian Healthcare</t>
        </is>
      </c>
      <c r="D12" s="24" t="inlineStr">
        <is>
          <t>P009</t>
        </is>
      </c>
      <c r="E12" s="24" t="inlineStr">
        <is>
          <t>Northstar Advisory</t>
        </is>
      </c>
      <c r="F12" s="24" t="inlineStr">
        <is>
          <t>Adoption</t>
        </is>
      </c>
      <c r="G12" s="24" t="inlineStr">
        <is>
          <t>Feature Workshop</t>
        </is>
      </c>
      <c r="H12" s="25" t="n">
        <v>44788</v>
      </c>
      <c r="I12" s="42">
        <f>IF(COUNTIFS('Survey Results'!B$5:B$52,B12,'Survey Results'!D$5:D$52,D12)=0,8,ROUND(SUMIFS('Survey Results'!L$5:L$52,'Survey Results'!B$5:B$52,B12,'Survey Results'!D$5:D$52,D12)/COUNTIFS('Survey Results'!B$5:B$52,B12,'Survey Results'!D$5:D$52,D12),0))</f>
        <v/>
      </c>
      <c r="J12" s="35" t="n">
        <v>8</v>
      </c>
      <c r="K12" s="24" t="inlineStr">
        <is>
          <t>Successful</t>
        </is>
      </c>
      <c r="L12" s="24" t="inlineStr">
        <is>
          <t>Follow-up adoption session</t>
        </is>
      </c>
      <c r="M12" s="9">
        <f>IF(COUNTIFS('Survey Results'!B$5:B$52,B12,'Survey Results'!D$5:D$52,D12)&gt;0,"Survey-derived","Internal Estimate")</f>
        <v/>
      </c>
      <c r="N12" s="43" t="inlineStr">
        <is>
          <t>—</t>
        </is>
      </c>
      <c r="O12" s="24" t="inlineStr">
        <is>
          <t>Nowhere</t>
        </is>
      </c>
    </row>
    <row r="13" ht="15" customHeight="1">
      <c r="A13" s="20" t="inlineStr">
        <is>
          <t>ENG-009</t>
        </is>
      </c>
      <c r="B13" s="20" t="inlineStr">
        <is>
          <t>C001</t>
        </is>
      </c>
      <c r="C13" s="20" t="inlineStr">
        <is>
          <t>Meridian Healthcare</t>
        </is>
      </c>
      <c r="D13" s="20" t="inlineStr">
        <is>
          <t>P009</t>
        </is>
      </c>
      <c r="E13" s="20" t="inlineStr">
        <is>
          <t>Northstar Advisory</t>
        </is>
      </c>
      <c r="F13" s="20" t="inlineStr">
        <is>
          <t>Retention</t>
        </is>
      </c>
      <c r="G13" s="20" t="inlineStr">
        <is>
          <t>QBR</t>
        </is>
      </c>
      <c r="H13" s="21" t="n">
        <v>44853</v>
      </c>
      <c r="I13" s="40">
        <f>'Survey Results'!L7</f>
        <v/>
      </c>
      <c r="J13" s="34" t="n">
        <v>16</v>
      </c>
      <c r="K13" s="20" t="inlineStr">
        <is>
          <t>Successful</t>
        </is>
      </c>
      <c r="L13" s="20" t="inlineStr">
        <is>
          <t>Follow-up retention session</t>
        </is>
      </c>
      <c r="M13" s="41" t="inlineStr">
        <is>
          <t>Survey-validated</t>
        </is>
      </c>
      <c r="N13" s="9">
        <f>'Survey Results'!A7</f>
        <v/>
      </c>
      <c r="O13" s="20" t="inlineStr">
        <is>
          <t>Nowhere</t>
        </is>
      </c>
    </row>
    <row r="14" ht="15" customHeight="1">
      <c r="A14" s="24" t="inlineStr">
        <is>
          <t>ENG-010</t>
        </is>
      </c>
      <c r="B14" s="24" t="inlineStr">
        <is>
          <t>C001</t>
        </is>
      </c>
      <c r="C14" s="24" t="inlineStr">
        <is>
          <t>Meridian Healthcare</t>
        </is>
      </c>
      <c r="D14" s="24" t="inlineStr">
        <is>
          <t>P009</t>
        </is>
      </c>
      <c r="E14" s="24" t="inlineStr">
        <is>
          <t>Northstar Advisory</t>
        </is>
      </c>
      <c r="F14" s="24" t="inlineStr">
        <is>
          <t>Expansion</t>
        </is>
      </c>
      <c r="G14" s="24" t="inlineStr">
        <is>
          <t>ROI Review</t>
        </is>
      </c>
      <c r="H14" s="25" t="n">
        <v>44773</v>
      </c>
      <c r="I14" s="42">
        <f>IF(COUNTIFS('Survey Results'!B$5:B$52,B14,'Survey Results'!D$5:D$52,D14)=0,10,ROUND(SUMIFS('Survey Results'!L$5:L$52,'Survey Results'!B$5:B$52,B14,'Survey Results'!D$5:D$52,D14)/COUNTIFS('Survey Results'!B$5:B$52,B14,'Survey Results'!D$5:D$52,D14),0))</f>
        <v/>
      </c>
      <c r="J14" s="35" t="n">
        <v>8</v>
      </c>
      <c r="K14" s="24" t="inlineStr">
        <is>
          <t>Successful</t>
        </is>
      </c>
      <c r="L14" s="24" t="inlineStr">
        <is>
          <t>Follow-up expansion session</t>
        </is>
      </c>
      <c r="M14" s="9">
        <f>IF(COUNTIFS('Survey Results'!B$5:B$52,B14,'Survey Results'!D$5:D$52,D14)&gt;0,"Survey-derived","Internal Estimate")</f>
        <v/>
      </c>
      <c r="N14" s="43" t="inlineStr">
        <is>
          <t>—</t>
        </is>
      </c>
      <c r="O14" s="24" t="inlineStr">
        <is>
          <t>Nowhere</t>
        </is>
      </c>
    </row>
    <row r="15" ht="23.25" customHeight="1">
      <c r="A15" s="20" t="inlineStr">
        <is>
          <t>ENG-011</t>
        </is>
      </c>
      <c r="B15" s="20" t="inlineStr">
        <is>
          <t>C002</t>
        </is>
      </c>
      <c r="C15" s="20" t="inlineStr">
        <is>
          <t>Atlas Financial</t>
        </is>
      </c>
      <c r="D15" s="20" t="inlineStr">
        <is>
          <t>P011</t>
        </is>
      </c>
      <c r="E15" s="20" t="inlineStr">
        <is>
          <t>TrueNorth Advisory</t>
        </is>
      </c>
      <c r="F15" s="20" t="inlineStr">
        <is>
          <t>Acquisition</t>
        </is>
      </c>
      <c r="G15" s="20" t="inlineStr">
        <is>
          <t>Referral Introduction</t>
        </is>
      </c>
      <c r="H15" s="21" t="n">
        <v>44604</v>
      </c>
      <c r="I15" s="40">
        <f>'Survey Results'!L12</f>
        <v/>
      </c>
      <c r="J15" s="34" t="n">
        <v>8</v>
      </c>
      <c r="K15" s="20" t="inlineStr">
        <is>
          <t>Objective met</t>
        </is>
      </c>
      <c r="L15" s="20" t="inlineStr">
        <is>
          <t>Acquisition engagement with TrueNorth Advisory</t>
        </is>
      </c>
      <c r="M15" s="41" t="inlineStr">
        <is>
          <t>Survey-validated</t>
        </is>
      </c>
      <c r="N15" s="9">
        <f>'Survey Results'!A12</f>
        <v/>
      </c>
      <c r="O15" s="20" t="inlineStr">
        <is>
          <t>CRM</t>
        </is>
      </c>
    </row>
    <row r="16" ht="23.25" customHeight="1">
      <c r="A16" s="24" t="inlineStr">
        <is>
          <t>ENG-012</t>
        </is>
      </c>
      <c r="B16" s="24" t="inlineStr">
        <is>
          <t>C002</t>
        </is>
      </c>
      <c r="C16" s="24" t="inlineStr">
        <is>
          <t>Atlas Financial</t>
        </is>
      </c>
      <c r="D16" s="24" t="inlineStr">
        <is>
          <t>P003</t>
        </is>
      </c>
      <c r="E16" s="24" t="inlineStr">
        <is>
          <t>DataForce Services</t>
        </is>
      </c>
      <c r="F16" s="24" t="inlineStr">
        <is>
          <t>Onboarding</t>
        </is>
      </c>
      <c r="G16" s="24" t="inlineStr">
        <is>
          <t>Data Migration</t>
        </is>
      </c>
      <c r="H16" s="25" t="n">
        <v>44655</v>
      </c>
      <c r="I16" s="42">
        <f>IF(COUNTIFS('Survey Results'!B$5:B$52,B16,'Survey Results'!D$5:D$52,D16)=0,7,ROUND(SUMIFS('Survey Results'!L$5:L$52,'Survey Results'!B$5:B$52,B16,'Survey Results'!D$5:D$52,D16)/COUNTIFS('Survey Results'!B$5:B$52,B16,'Survey Results'!D$5:D$52,D16),0))</f>
        <v/>
      </c>
      <c r="J16" s="35" t="n">
        <v>4</v>
      </c>
      <c r="K16" s="24" t="inlineStr">
        <is>
          <t>Successful</t>
        </is>
      </c>
      <c r="L16" s="24" t="inlineStr">
        <is>
          <t>Onboarding engagement with DataForce Services</t>
        </is>
      </c>
      <c r="M16" s="9">
        <f>IF(COUNTIFS('Survey Results'!B$5:B$52,B16,'Survey Results'!D$5:D$52,D16)&gt;0,"Survey-derived","Internal Estimate")</f>
        <v/>
      </c>
      <c r="N16" s="43" t="inlineStr">
        <is>
          <t>—</t>
        </is>
      </c>
      <c r="O16" s="24" t="inlineStr">
        <is>
          <t>PSA</t>
        </is>
      </c>
    </row>
    <row r="17" ht="23.25" customHeight="1">
      <c r="A17" s="20" t="inlineStr">
        <is>
          <t>ENG-013</t>
        </is>
      </c>
      <c r="B17" s="20" t="inlineStr">
        <is>
          <t>C002</t>
        </is>
      </c>
      <c r="C17" s="20" t="inlineStr">
        <is>
          <t>Atlas Financial</t>
        </is>
      </c>
      <c r="D17" s="20" t="inlineStr">
        <is>
          <t>P003</t>
        </is>
      </c>
      <c r="E17" s="20" t="inlineStr">
        <is>
          <t>DataForce Services</t>
        </is>
      </c>
      <c r="F17" s="20" t="inlineStr">
        <is>
          <t>Adoption</t>
        </is>
      </c>
      <c r="G17" s="20" t="inlineStr">
        <is>
          <t>Best Practice Review</t>
        </is>
      </c>
      <c r="H17" s="21" t="n">
        <v>44691</v>
      </c>
      <c r="I17" s="40">
        <f>'Survey Results'!L10</f>
        <v/>
      </c>
      <c r="J17" s="34" t="n">
        <v>8</v>
      </c>
      <c r="K17" s="20" t="inlineStr">
        <is>
          <t>Successful</t>
        </is>
      </c>
      <c r="L17" s="20" t="inlineStr">
        <is>
          <t>Adoption engagement with DataForce Services</t>
        </is>
      </c>
      <c r="M17" s="41" t="inlineStr">
        <is>
          <t>Survey-validated</t>
        </is>
      </c>
      <c r="N17" s="9">
        <f>'Survey Results'!A10</f>
        <v/>
      </c>
      <c r="O17" s="20" t="inlineStr">
        <is>
          <t>Nowhere</t>
        </is>
      </c>
    </row>
    <row r="18" ht="23.25" customHeight="1">
      <c r="A18" s="24" t="inlineStr">
        <is>
          <t>ENG-014</t>
        </is>
      </c>
      <c r="B18" s="24" t="inlineStr">
        <is>
          <t>C002</t>
        </is>
      </c>
      <c r="C18" s="24" t="inlineStr">
        <is>
          <t>Atlas Financial</t>
        </is>
      </c>
      <c r="D18" s="24" t="inlineStr">
        <is>
          <t>P005</t>
        </is>
      </c>
      <c r="E18" s="24" t="inlineStr">
        <is>
          <t>ManagedOps Pro</t>
        </is>
      </c>
      <c r="F18" s="24" t="inlineStr">
        <is>
          <t>Adoption</t>
        </is>
      </c>
      <c r="G18" s="24" t="inlineStr">
        <is>
          <t>Adoption Check-in</t>
        </is>
      </c>
      <c r="H18" s="25" t="n">
        <v>44735</v>
      </c>
      <c r="I18" s="42">
        <f>IF(COUNTIFS('Survey Results'!B$5:B$52,B18,'Survey Results'!D$5:D$52,D18)=0,9,ROUND(SUMIFS('Survey Results'!L$5:L$52,'Survey Results'!B$5:B$52,B18,'Survey Results'!D$5:D$52,D18)/COUNTIFS('Survey Results'!B$5:B$52,B18,'Survey Results'!D$5:D$52,D18),0))</f>
        <v/>
      </c>
      <c r="J18" s="35" t="n">
        <v>16</v>
      </c>
      <c r="K18" s="24" t="inlineStr">
        <is>
          <t>Positive impact</t>
        </is>
      </c>
      <c r="L18" s="24" t="inlineStr">
        <is>
          <t>Adoption engagement with ManagedOps Pro</t>
        </is>
      </c>
      <c r="M18" s="9">
        <f>IF(COUNTIFS('Survey Results'!B$5:B$52,B18,'Survey Results'!D$5:D$52,D18)&gt;0,"Survey-derived","Internal Estimate")</f>
        <v/>
      </c>
      <c r="N18" s="43" t="inlineStr">
        <is>
          <t>—</t>
        </is>
      </c>
      <c r="O18" s="24" t="inlineStr">
        <is>
          <t>Nowhere</t>
        </is>
      </c>
    </row>
    <row r="19" ht="23.25" customHeight="1">
      <c r="A19" s="20" t="inlineStr">
        <is>
          <t>ENG-015</t>
        </is>
      </c>
      <c r="B19" s="20" t="inlineStr">
        <is>
          <t>C002</t>
        </is>
      </c>
      <c r="C19" s="20" t="inlineStr">
        <is>
          <t>Atlas Financial</t>
        </is>
      </c>
      <c r="D19" s="20" t="inlineStr">
        <is>
          <t>P005</t>
        </is>
      </c>
      <c r="E19" s="20" t="inlineStr">
        <is>
          <t>ManagedOps Pro</t>
        </is>
      </c>
      <c r="F19" s="20" t="inlineStr">
        <is>
          <t>Retention</t>
        </is>
      </c>
      <c r="G19" s="20" t="inlineStr">
        <is>
          <t>Renewal Planning</t>
        </is>
      </c>
      <c r="H19" s="21" t="n">
        <v>44783</v>
      </c>
      <c r="I19" s="40">
        <f>IF(COUNTIFS('Survey Results'!B$5:B$52,B19,'Survey Results'!D$5:D$52,D19)=0,7,ROUND(SUMIFS('Survey Results'!L$5:L$52,'Survey Results'!B$5:B$52,B19,'Survey Results'!D$5:D$52,D19)/COUNTIFS('Survey Results'!B$5:B$52,B19,'Survey Results'!D$5:D$52,D19),0))</f>
        <v/>
      </c>
      <c r="J19" s="34" t="n">
        <v>8</v>
      </c>
      <c r="K19" s="20" t="inlineStr">
        <is>
          <t>Successful</t>
        </is>
      </c>
      <c r="L19" s="20" t="inlineStr">
        <is>
          <t>Retention engagement with ManagedOps Pro</t>
        </is>
      </c>
      <c r="M19" s="9">
        <f>IF(COUNTIFS('Survey Results'!B$5:B$52,B19,'Survey Results'!D$5:D$52,D19)&gt;0,"Survey-derived","Internal Estimate")</f>
        <v/>
      </c>
      <c r="N19" s="43" t="inlineStr">
        <is>
          <t>—</t>
        </is>
      </c>
      <c r="O19" s="20" t="inlineStr">
        <is>
          <t>Nowhere</t>
        </is>
      </c>
    </row>
    <row r="20" ht="23.25" customHeight="1">
      <c r="A20" s="24" t="inlineStr">
        <is>
          <t>ENG-016</t>
        </is>
      </c>
      <c r="B20" s="24" t="inlineStr">
        <is>
          <t>C002</t>
        </is>
      </c>
      <c r="C20" s="24" t="inlineStr">
        <is>
          <t>Atlas Financial</t>
        </is>
      </c>
      <c r="D20" s="24" t="inlineStr">
        <is>
          <t>P011</t>
        </is>
      </c>
      <c r="E20" s="24" t="inlineStr">
        <is>
          <t>TrueNorth Advisory</t>
        </is>
      </c>
      <c r="F20" s="24" t="inlineStr">
        <is>
          <t>Expansion</t>
        </is>
      </c>
      <c r="G20" s="24" t="inlineStr">
        <is>
          <t>Cross-sell Intro</t>
        </is>
      </c>
      <c r="H20" s="25" t="n">
        <v>44837</v>
      </c>
      <c r="I20" s="42">
        <f>IF(COUNTIFS('Survey Results'!B$5:B$52,B20,'Survey Results'!D$5:D$52,D20)=0,7,ROUND(SUMIFS('Survey Results'!L$5:L$52,'Survey Results'!B$5:B$52,B20,'Survey Results'!D$5:D$52,D20)/COUNTIFS('Survey Results'!B$5:B$52,B20,'Survey Results'!D$5:D$52,D20),0))</f>
        <v/>
      </c>
      <c r="J20" s="35" t="n">
        <v>8</v>
      </c>
      <c r="K20" s="24" t="inlineStr">
        <is>
          <t>Positive impact</t>
        </is>
      </c>
      <c r="L20" s="24" t="inlineStr">
        <is>
          <t>Expansion engagement with TrueNorth Advisory</t>
        </is>
      </c>
      <c r="M20" s="9">
        <f>IF(COUNTIFS('Survey Results'!B$5:B$52,B20,'Survey Results'!D$5:D$52,D20)&gt;0,"Survey-derived","Internal Estimate")</f>
        <v/>
      </c>
      <c r="N20" s="43" t="inlineStr">
        <is>
          <t>—</t>
        </is>
      </c>
      <c r="O20" s="24" t="inlineStr">
        <is>
          <t>CRM</t>
        </is>
      </c>
    </row>
    <row r="21" ht="23.25" customHeight="1">
      <c r="A21" s="20" t="inlineStr">
        <is>
          <t>ENG-017</t>
        </is>
      </c>
      <c r="B21" s="20" t="inlineStr">
        <is>
          <t>C002</t>
        </is>
      </c>
      <c r="C21" s="20" t="inlineStr">
        <is>
          <t>Atlas Financial</t>
        </is>
      </c>
      <c r="D21" s="20" t="inlineStr">
        <is>
          <t>P011</t>
        </is>
      </c>
      <c r="E21" s="20" t="inlineStr">
        <is>
          <t>TrueNorth Advisory</t>
        </is>
      </c>
      <c r="F21" s="20" t="inlineStr">
        <is>
          <t>Advocacy</t>
        </is>
      </c>
      <c r="G21" s="20" t="inlineStr">
        <is>
          <t>Peer Referral</t>
        </is>
      </c>
      <c r="H21" s="21" t="n">
        <v>44874</v>
      </c>
      <c r="I21" s="40">
        <f>'Survey Results'!L9</f>
        <v/>
      </c>
      <c r="J21" s="34" t="n">
        <v>8</v>
      </c>
      <c r="K21" s="20" t="inlineStr">
        <is>
          <t>Objective met</t>
        </is>
      </c>
      <c r="L21" s="20" t="inlineStr">
        <is>
          <t>Advocacy engagement with TrueNorth Advisory</t>
        </is>
      </c>
      <c r="M21" s="41" t="inlineStr">
        <is>
          <t>Survey-validated</t>
        </is>
      </c>
      <c r="N21" s="9">
        <f>'Survey Results'!A9</f>
        <v/>
      </c>
      <c r="O21" s="20" t="inlineStr">
        <is>
          <t>CRM</t>
        </is>
      </c>
    </row>
    <row r="22" ht="15" customHeight="1">
      <c r="A22" s="24" t="inlineStr">
        <is>
          <t>ENG-018</t>
        </is>
      </c>
      <c r="B22" s="24" t="inlineStr">
        <is>
          <t>C002</t>
        </is>
      </c>
      <c r="C22" s="24" t="inlineStr">
        <is>
          <t>Atlas Financial</t>
        </is>
      </c>
      <c r="D22" s="24" t="inlineStr">
        <is>
          <t>P005</t>
        </is>
      </c>
      <c r="E22" s="24" t="inlineStr">
        <is>
          <t>ManagedOps Pro</t>
        </is>
      </c>
      <c r="F22" s="24" t="inlineStr">
        <is>
          <t>Adoption</t>
        </is>
      </c>
      <c r="G22" s="24" t="inlineStr">
        <is>
          <t>Best Practice Review</t>
        </is>
      </c>
      <c r="H22" s="25" t="n">
        <v>44967</v>
      </c>
      <c r="I22" s="42">
        <f>'Survey Results'!L11</f>
        <v/>
      </c>
      <c r="J22" s="35" t="n">
        <v>4</v>
      </c>
      <c r="K22" s="24" t="inlineStr">
        <is>
          <t>Successful</t>
        </is>
      </c>
      <c r="L22" s="24" t="inlineStr">
        <is>
          <t>Follow-up adoption session</t>
        </is>
      </c>
      <c r="M22" s="41" t="inlineStr">
        <is>
          <t>Survey-validated</t>
        </is>
      </c>
      <c r="N22" s="9">
        <f>'Survey Results'!A11</f>
        <v/>
      </c>
      <c r="O22" s="24" t="inlineStr">
        <is>
          <t>Nowhere</t>
        </is>
      </c>
    </row>
    <row r="23" ht="15" customHeight="1">
      <c r="A23" s="20" t="inlineStr">
        <is>
          <t>ENG-019</t>
        </is>
      </c>
      <c r="B23" s="20" t="inlineStr">
        <is>
          <t>C002</t>
        </is>
      </c>
      <c r="C23" s="20" t="inlineStr">
        <is>
          <t>Atlas Financial</t>
        </is>
      </c>
      <c r="D23" s="20" t="inlineStr">
        <is>
          <t>P005</t>
        </is>
      </c>
      <c r="E23" s="20" t="inlineStr">
        <is>
          <t>ManagedOps Pro</t>
        </is>
      </c>
      <c r="F23" s="20" t="inlineStr">
        <is>
          <t>Retention</t>
        </is>
      </c>
      <c r="G23" s="20" t="inlineStr">
        <is>
          <t>Health Check</t>
        </is>
      </c>
      <c r="H23" s="21" t="n">
        <v>44800</v>
      </c>
      <c r="I23" s="40">
        <f>IF(COUNTIFS('Survey Results'!B$5:B$52,B23,'Survey Results'!D$5:D$52,D23)=0,9,ROUND(SUMIFS('Survey Results'!L$5:L$52,'Survey Results'!B$5:B$52,B23,'Survey Results'!D$5:D$52,D23)/COUNTIFS('Survey Results'!B$5:B$52,B23,'Survey Results'!D$5:D$52,D23),0))</f>
        <v/>
      </c>
      <c r="J23" s="34" t="n">
        <v>8</v>
      </c>
      <c r="K23" s="20" t="inlineStr">
        <is>
          <t>Successful</t>
        </is>
      </c>
      <c r="L23" s="20" t="inlineStr">
        <is>
          <t>Follow-up retention session</t>
        </is>
      </c>
      <c r="M23" s="9">
        <f>IF(COUNTIFS('Survey Results'!B$5:B$52,B23,'Survey Results'!D$5:D$52,D23)&gt;0,"Survey-derived","Internal Estimate")</f>
        <v/>
      </c>
      <c r="N23" s="43" t="inlineStr">
        <is>
          <t>—</t>
        </is>
      </c>
      <c r="O23" s="20" t="inlineStr">
        <is>
          <t>Nowhere</t>
        </is>
      </c>
    </row>
    <row r="24" ht="15" customHeight="1">
      <c r="A24" s="24" t="inlineStr">
        <is>
          <t>ENG-020</t>
        </is>
      </c>
      <c r="B24" s="24" t="inlineStr">
        <is>
          <t>C002</t>
        </is>
      </c>
      <c r="C24" s="24" t="inlineStr">
        <is>
          <t>Atlas Financial</t>
        </is>
      </c>
      <c r="D24" s="24" t="inlineStr">
        <is>
          <t>P005</t>
        </is>
      </c>
      <c r="E24" s="24" t="inlineStr">
        <is>
          <t>ManagedOps Pro</t>
        </is>
      </c>
      <c r="F24" s="24" t="inlineStr">
        <is>
          <t>Expansion</t>
        </is>
      </c>
      <c r="G24" s="24" t="inlineStr">
        <is>
          <t>ROI Review</t>
        </is>
      </c>
      <c r="H24" s="25" t="n">
        <v>44808</v>
      </c>
      <c r="I24" s="42">
        <f>IF(COUNTIFS('Survey Results'!B$5:B$52,B24,'Survey Results'!D$5:D$52,D24)=0,8,ROUND(SUMIFS('Survey Results'!L$5:L$52,'Survey Results'!B$5:B$52,B24,'Survey Results'!D$5:D$52,D24)/COUNTIFS('Survey Results'!B$5:B$52,B24,'Survey Results'!D$5:D$52,D24),0))</f>
        <v/>
      </c>
      <c r="J24" s="35" t="n">
        <v>16</v>
      </c>
      <c r="K24" s="24" t="inlineStr">
        <is>
          <t>Successful</t>
        </is>
      </c>
      <c r="L24" s="24" t="inlineStr">
        <is>
          <t>Follow-up expansion session</t>
        </is>
      </c>
      <c r="M24" s="9">
        <f>IF(COUNTIFS('Survey Results'!B$5:B$52,B24,'Survey Results'!D$5:D$52,D24)&gt;0,"Survey-derived","Internal Estimate")</f>
        <v/>
      </c>
      <c r="N24" s="43" t="inlineStr">
        <is>
          <t>—</t>
        </is>
      </c>
      <c r="O24" s="24" t="inlineStr">
        <is>
          <t>Nowhere</t>
        </is>
      </c>
    </row>
    <row r="25" ht="23.25" customHeight="1">
      <c r="A25" s="20" t="inlineStr">
        <is>
          <t>ENG-021</t>
        </is>
      </c>
      <c r="B25" s="20" t="inlineStr">
        <is>
          <t>C003</t>
        </is>
      </c>
      <c r="C25" s="20" t="inlineStr">
        <is>
          <t>Pinnacle Retail</t>
        </is>
      </c>
      <c r="D25" s="20" t="inlineStr">
        <is>
          <t>P007</t>
        </is>
      </c>
      <c r="E25" s="20" t="inlineStr">
        <is>
          <t>PrimeAdvisory Group</t>
        </is>
      </c>
      <c r="F25" s="20" t="inlineStr">
        <is>
          <t>Acquisition</t>
        </is>
      </c>
      <c r="G25" s="20" t="inlineStr">
        <is>
          <t>Joint Discovery Call</t>
        </is>
      </c>
      <c r="H25" s="21" t="n">
        <v>44628</v>
      </c>
      <c r="I25" s="40">
        <f>'Survey Results'!L16</f>
        <v/>
      </c>
      <c r="J25" s="34" t="n">
        <v>16</v>
      </c>
      <c r="K25" s="20" t="inlineStr">
        <is>
          <t>Value demonstrated</t>
        </is>
      </c>
      <c r="L25" s="20" t="inlineStr">
        <is>
          <t>Acquisition engagement with PrimeAdvisory Group</t>
        </is>
      </c>
      <c r="M25" s="41" t="inlineStr">
        <is>
          <t>Survey-validated</t>
        </is>
      </c>
      <c r="N25" s="9">
        <f>'Survey Results'!A16</f>
        <v/>
      </c>
      <c r="O25" s="20" t="inlineStr">
        <is>
          <t>CRM</t>
        </is>
      </c>
    </row>
    <row r="26" ht="23.25" customHeight="1">
      <c r="A26" s="24" t="inlineStr">
        <is>
          <t>ENG-022</t>
        </is>
      </c>
      <c r="B26" s="24" t="inlineStr">
        <is>
          <t>C003</t>
        </is>
      </c>
      <c r="C26" s="24" t="inlineStr">
        <is>
          <t>Pinnacle Retail</t>
        </is>
      </c>
      <c r="D26" s="24" t="inlineStr">
        <is>
          <t>P008</t>
        </is>
      </c>
      <c r="E26" s="24" t="inlineStr">
        <is>
          <t>RapidDeploy Inc</t>
        </is>
      </c>
      <c r="F26" s="24" t="inlineStr">
        <is>
          <t>Onboarding</t>
        </is>
      </c>
      <c r="G26" s="24" t="inlineStr">
        <is>
          <t>Technical Setup</t>
        </is>
      </c>
      <c r="H26" s="25" t="n">
        <v>44675</v>
      </c>
      <c r="I26" s="42">
        <f>IF(COUNTIFS('Survey Results'!B$5:B$52,B26,'Survey Results'!D$5:D$52,D26)=0,5,ROUND(SUMIFS('Survey Results'!L$5:L$52,'Survey Results'!B$5:B$52,B26,'Survey Results'!D$5:D$52,D26)/COUNTIFS('Survey Results'!B$5:B$52,B26,'Survey Results'!D$5:D$52,D26),0))</f>
        <v/>
      </c>
      <c r="J26" s="35" t="n">
        <v>8</v>
      </c>
      <c r="K26" s="24" t="inlineStr">
        <is>
          <t>Incomplete</t>
        </is>
      </c>
      <c r="L26" s="24" t="inlineStr">
        <is>
          <t>Onboarding engagement with RapidDeploy Inc</t>
        </is>
      </c>
      <c r="M26" s="9">
        <f>IF(COUNTIFS('Survey Results'!B$5:B$52,B26,'Survey Results'!D$5:D$52,D26)&gt;0,"Survey-derived","Internal Estimate")</f>
        <v/>
      </c>
      <c r="N26" s="43" t="inlineStr">
        <is>
          <t>—</t>
        </is>
      </c>
      <c r="O26" s="24" t="inlineStr">
        <is>
          <t>PSA</t>
        </is>
      </c>
    </row>
    <row r="27" ht="23.25" customHeight="1">
      <c r="A27" s="20" t="inlineStr">
        <is>
          <t>ENG-023</t>
        </is>
      </c>
      <c r="B27" s="20" t="inlineStr">
        <is>
          <t>C003</t>
        </is>
      </c>
      <c r="C27" s="20" t="inlineStr">
        <is>
          <t>Pinnacle Retail</t>
        </is>
      </c>
      <c r="D27" s="20" t="inlineStr">
        <is>
          <t>P008</t>
        </is>
      </c>
      <c r="E27" s="20" t="inlineStr">
        <is>
          <t>RapidDeploy Inc</t>
        </is>
      </c>
      <c r="F27" s="20" t="inlineStr">
        <is>
          <t>Adoption</t>
        </is>
      </c>
      <c r="G27" s="20" t="inlineStr">
        <is>
          <t>Process Optimization</t>
        </is>
      </c>
      <c r="H27" s="21" t="n">
        <v>44720</v>
      </c>
      <c r="I27" s="40">
        <f>'Survey Results'!L14</f>
        <v/>
      </c>
      <c r="J27" s="34" t="n">
        <v>16</v>
      </c>
      <c r="K27" s="20" t="inlineStr">
        <is>
          <t>Objective met</t>
        </is>
      </c>
      <c r="L27" s="20" t="inlineStr">
        <is>
          <t>Adoption engagement with RapidDeploy Inc</t>
        </is>
      </c>
      <c r="M27" s="41" t="inlineStr">
        <is>
          <t>Survey-validated</t>
        </is>
      </c>
      <c r="N27" s="9">
        <f>'Survey Results'!A14</f>
        <v/>
      </c>
      <c r="O27" s="20" t="inlineStr">
        <is>
          <t>Nowhere</t>
        </is>
      </c>
    </row>
    <row r="28" ht="23.25" customHeight="1">
      <c r="A28" s="24" t="inlineStr">
        <is>
          <t>ENG-024</t>
        </is>
      </c>
      <c r="B28" s="24" t="inlineStr">
        <is>
          <t>C003</t>
        </is>
      </c>
      <c r="C28" s="24" t="inlineStr">
        <is>
          <t>Pinnacle Retail</t>
        </is>
      </c>
      <c r="D28" s="24" t="inlineStr">
        <is>
          <t>P006</t>
        </is>
      </c>
      <c r="E28" s="24" t="inlineStr">
        <is>
          <t>NexGen Integrators</t>
        </is>
      </c>
      <c r="F28" s="24" t="inlineStr">
        <is>
          <t>Adoption</t>
        </is>
      </c>
      <c r="G28" s="24" t="inlineStr">
        <is>
          <t>Adoption Check-in</t>
        </is>
      </c>
      <c r="H28" s="25" t="n">
        <v>44768</v>
      </c>
      <c r="I28" s="42">
        <f>IF(COUNTIFS('Survey Results'!B$5:B$52,B28,'Survey Results'!D$5:D$52,D28)=0,5,ROUND(SUMIFS('Survey Results'!L$5:L$52,'Survey Results'!B$5:B$52,B28,'Survey Results'!D$5:D$52,D28)/COUNTIFS('Survey Results'!B$5:B$52,B28,'Survey Results'!D$5:D$52,D28),0))</f>
        <v/>
      </c>
      <c r="J28" s="35" t="n">
        <v>4</v>
      </c>
      <c r="K28" s="24" t="inlineStr">
        <is>
          <t>Incomplete</t>
        </is>
      </c>
      <c r="L28" s="24" t="inlineStr">
        <is>
          <t>Adoption engagement with NexGen Integrators</t>
        </is>
      </c>
      <c r="M28" s="9">
        <f>IF(COUNTIFS('Survey Results'!B$5:B$52,B28,'Survey Results'!D$5:D$52,D28)&gt;0,"Survey-derived","Internal Estimate")</f>
        <v/>
      </c>
      <c r="N28" s="43" t="inlineStr">
        <is>
          <t>—</t>
        </is>
      </c>
      <c r="O28" s="24" t="inlineStr">
        <is>
          <t>Nowhere</t>
        </is>
      </c>
    </row>
    <row r="29" ht="23.25" customHeight="1">
      <c r="A29" s="20" t="inlineStr">
        <is>
          <t>ENG-025</t>
        </is>
      </c>
      <c r="B29" s="20" t="inlineStr">
        <is>
          <t>C003</t>
        </is>
      </c>
      <c r="C29" s="20" t="inlineStr">
        <is>
          <t>Pinnacle Retail</t>
        </is>
      </c>
      <c r="D29" s="20" t="inlineStr">
        <is>
          <t>P006</t>
        </is>
      </c>
      <c r="E29" s="20" t="inlineStr">
        <is>
          <t>NexGen Integrators</t>
        </is>
      </c>
      <c r="F29" s="20" t="inlineStr">
        <is>
          <t>Retention</t>
        </is>
      </c>
      <c r="G29" s="20" t="inlineStr">
        <is>
          <t>Executive Alignment</t>
        </is>
      </c>
      <c r="H29" s="21" t="n">
        <v>44804</v>
      </c>
      <c r="I29" s="40">
        <f>'Survey Results'!L15</f>
        <v/>
      </c>
      <c r="J29" s="34" t="n">
        <v>4</v>
      </c>
      <c r="K29" s="20" t="inlineStr">
        <is>
          <t>Needs follow-up</t>
        </is>
      </c>
      <c r="L29" s="20" t="inlineStr">
        <is>
          <t>Retention engagement with NexGen Integrators</t>
        </is>
      </c>
      <c r="M29" s="41" t="inlineStr">
        <is>
          <t>Survey-validated</t>
        </is>
      </c>
      <c r="N29" s="9">
        <f>'Survey Results'!A15</f>
        <v/>
      </c>
      <c r="O29" s="20" t="inlineStr">
        <is>
          <t>Nowhere</t>
        </is>
      </c>
    </row>
    <row r="30" ht="23.25" customHeight="1">
      <c r="A30" s="24" t="inlineStr">
        <is>
          <t>ENG-026</t>
        </is>
      </c>
      <c r="B30" s="24" t="inlineStr">
        <is>
          <t>C003</t>
        </is>
      </c>
      <c r="C30" s="24" t="inlineStr">
        <is>
          <t>Pinnacle Retail</t>
        </is>
      </c>
      <c r="D30" s="24" t="inlineStr">
        <is>
          <t>P007</t>
        </is>
      </c>
      <c r="E30" s="24" t="inlineStr">
        <is>
          <t>PrimeAdvisory Group</t>
        </is>
      </c>
      <c r="F30" s="24" t="inlineStr">
        <is>
          <t>Expansion</t>
        </is>
      </c>
      <c r="G30" s="24" t="inlineStr">
        <is>
          <t>New Use Case Workshop</t>
        </is>
      </c>
      <c r="H30" s="25" t="n">
        <v>44860</v>
      </c>
      <c r="I30" s="42">
        <f>IF(COUNTIFS('Survey Results'!B$5:B$52,B30,'Survey Results'!D$5:D$52,D30)=0,8,ROUND(SUMIFS('Survey Results'!L$5:L$52,'Survey Results'!B$5:B$52,B30,'Survey Results'!D$5:D$52,D30)/COUNTIFS('Survey Results'!B$5:B$52,B30,'Survey Results'!D$5:D$52,D30),0))</f>
        <v/>
      </c>
      <c r="J30" s="35" t="n">
        <v>4</v>
      </c>
      <c r="K30" s="24" t="inlineStr">
        <is>
          <t>Value demonstrated</t>
        </is>
      </c>
      <c r="L30" s="24" t="inlineStr">
        <is>
          <t>Expansion engagement with PrimeAdvisory Group</t>
        </is>
      </c>
      <c r="M30" s="9">
        <f>IF(COUNTIFS('Survey Results'!B$5:B$52,B30,'Survey Results'!D$5:D$52,D30)&gt;0,"Survey-derived","Internal Estimate")</f>
        <v/>
      </c>
      <c r="N30" s="43" t="inlineStr">
        <is>
          <t>—</t>
        </is>
      </c>
      <c r="O30" s="24" t="inlineStr">
        <is>
          <t>Nowhere</t>
        </is>
      </c>
    </row>
    <row r="31" ht="23.25" customHeight="1">
      <c r="A31" s="20" t="inlineStr">
        <is>
          <t>ENG-027</t>
        </is>
      </c>
      <c r="B31" s="20" t="inlineStr">
        <is>
          <t>C003</t>
        </is>
      </c>
      <c r="C31" s="20" t="inlineStr">
        <is>
          <t>Pinnacle Retail</t>
        </is>
      </c>
      <c r="D31" s="20" t="inlineStr">
        <is>
          <t>P007</t>
        </is>
      </c>
      <c r="E31" s="20" t="inlineStr">
        <is>
          <t>PrimeAdvisory Group</t>
        </is>
      </c>
      <c r="F31" s="20" t="inlineStr">
        <is>
          <t>Retention</t>
        </is>
      </c>
      <c r="G31" s="20" t="inlineStr">
        <is>
          <t>Renewal Planning</t>
        </is>
      </c>
      <c r="H31" s="21" t="n">
        <v>44911</v>
      </c>
      <c r="I31" s="40">
        <f>'Survey Results'!L13</f>
        <v/>
      </c>
      <c r="J31" s="34" t="n">
        <v>8</v>
      </c>
      <c r="K31" s="20" t="inlineStr">
        <is>
          <t>Partial success</t>
        </is>
      </c>
      <c r="L31" s="20" t="inlineStr">
        <is>
          <t>Shifted from advocacy to retention focus</t>
        </is>
      </c>
      <c r="M31" s="41" t="inlineStr">
        <is>
          <t>Survey-validated</t>
        </is>
      </c>
      <c r="N31" s="9">
        <f>'Survey Results'!A13</f>
        <v/>
      </c>
      <c r="O31" s="20" t="inlineStr">
        <is>
          <t>Nowhere</t>
        </is>
      </c>
    </row>
    <row r="32" ht="23.25" customHeight="1">
      <c r="A32" s="24" t="inlineStr">
        <is>
          <t>ENG-028</t>
        </is>
      </c>
      <c r="B32" s="24" t="inlineStr">
        <is>
          <t>C004</t>
        </is>
      </c>
      <c r="C32" s="24" t="inlineStr">
        <is>
          <t>Orion Manufacturing</t>
        </is>
      </c>
      <c r="D32" s="24" t="inlineStr">
        <is>
          <t>P001</t>
        </is>
      </c>
      <c r="E32" s="24" t="inlineStr">
        <is>
          <t>Apex Consulting</t>
        </is>
      </c>
      <c r="F32" s="24" t="inlineStr">
        <is>
          <t>Acquisition</t>
        </is>
      </c>
      <c r="G32" s="24" t="inlineStr">
        <is>
          <t>Referral Introduction</t>
        </is>
      </c>
      <c r="H32" s="25" t="n">
        <v>44655</v>
      </c>
      <c r="I32" s="42">
        <f>'Survey Results'!L20</f>
        <v/>
      </c>
      <c r="J32" s="35" t="n">
        <v>8</v>
      </c>
      <c r="K32" s="24" t="inlineStr">
        <is>
          <t>Customer satisfied</t>
        </is>
      </c>
      <c r="L32" s="24" t="inlineStr">
        <is>
          <t>Acquisition engagement with Apex Consulting</t>
        </is>
      </c>
      <c r="M32" s="41" t="inlineStr">
        <is>
          <t>Survey-validated</t>
        </is>
      </c>
      <c r="N32" s="9">
        <f>'Survey Results'!A20</f>
        <v/>
      </c>
      <c r="O32" s="24" t="inlineStr">
        <is>
          <t>CRM</t>
        </is>
      </c>
    </row>
    <row r="33" ht="23.25" customHeight="1">
      <c r="A33" s="20" t="inlineStr">
        <is>
          <t>ENG-029</t>
        </is>
      </c>
      <c r="B33" s="20" t="inlineStr">
        <is>
          <t>C004</t>
        </is>
      </c>
      <c r="C33" s="20" t="inlineStr">
        <is>
          <t>Orion Manufacturing</t>
        </is>
      </c>
      <c r="D33" s="20" t="inlineStr">
        <is>
          <t>P003</t>
        </is>
      </c>
      <c r="E33" s="20" t="inlineStr">
        <is>
          <t>DataForce Services</t>
        </is>
      </c>
      <c r="F33" s="20" t="inlineStr">
        <is>
          <t>Onboarding</t>
        </is>
      </c>
      <c r="G33" s="20" t="inlineStr">
        <is>
          <t>Implementation Kickoff</t>
        </is>
      </c>
      <c r="H33" s="21" t="n">
        <v>44706</v>
      </c>
      <c r="I33" s="40">
        <f>IF(COUNTIFS('Survey Results'!B$5:B$52,B33,'Survey Results'!D$5:D$52,D33)=0,9,ROUND(SUMIFS('Survey Results'!L$5:L$52,'Survey Results'!B$5:B$52,B33,'Survey Results'!D$5:D$52,D33)/COUNTIFS('Survey Results'!B$5:B$52,B33,'Survey Results'!D$5:D$52,D33),0))</f>
        <v/>
      </c>
      <c r="J33" s="34" t="n">
        <v>4</v>
      </c>
      <c r="K33" s="20" t="inlineStr">
        <is>
          <t>Value demonstrated</t>
        </is>
      </c>
      <c r="L33" s="20" t="inlineStr">
        <is>
          <t>Onboarding engagement with DataForce Services</t>
        </is>
      </c>
      <c r="M33" s="9">
        <f>IF(COUNTIFS('Survey Results'!B$5:B$52,B33,'Survey Results'!D$5:D$52,D33)&gt;0,"Survey-derived","Internal Estimate")</f>
        <v/>
      </c>
      <c r="N33" s="43" t="inlineStr">
        <is>
          <t>—</t>
        </is>
      </c>
      <c r="O33" s="20" t="inlineStr">
        <is>
          <t>PSA</t>
        </is>
      </c>
    </row>
    <row r="34" ht="23.25" customHeight="1">
      <c r="A34" s="24" t="inlineStr">
        <is>
          <t>ENG-030</t>
        </is>
      </c>
      <c r="B34" s="24" t="inlineStr">
        <is>
          <t>C004</t>
        </is>
      </c>
      <c r="C34" s="24" t="inlineStr">
        <is>
          <t>Orion Manufacturing</t>
        </is>
      </c>
      <c r="D34" s="24" t="inlineStr">
        <is>
          <t>P003</t>
        </is>
      </c>
      <c r="E34" s="24" t="inlineStr">
        <is>
          <t>DataForce Services</t>
        </is>
      </c>
      <c r="F34" s="24" t="inlineStr">
        <is>
          <t>Adoption</t>
        </is>
      </c>
      <c r="G34" s="24" t="inlineStr">
        <is>
          <t>User Training Session</t>
        </is>
      </c>
      <c r="H34" s="25" t="n">
        <v>44750</v>
      </c>
      <c r="I34" s="42">
        <f>'Survey Results'!L18</f>
        <v/>
      </c>
      <c r="J34" s="35" t="n">
        <v>4</v>
      </c>
      <c r="K34" s="24" t="inlineStr">
        <is>
          <t>Objective met</t>
        </is>
      </c>
      <c r="L34" s="24" t="inlineStr">
        <is>
          <t>Adoption engagement with DataForce Services</t>
        </is>
      </c>
      <c r="M34" s="41" t="inlineStr">
        <is>
          <t>Survey-validated</t>
        </is>
      </c>
      <c r="N34" s="9">
        <f>'Survey Results'!A18</f>
        <v/>
      </c>
      <c r="O34" s="24" t="inlineStr">
        <is>
          <t>Nowhere</t>
        </is>
      </c>
    </row>
    <row r="35" ht="23.25" customHeight="1">
      <c r="A35" s="20" t="inlineStr">
        <is>
          <t>ENG-031</t>
        </is>
      </c>
      <c r="B35" s="20" t="inlineStr">
        <is>
          <t>C004</t>
        </is>
      </c>
      <c r="C35" s="20" t="inlineStr">
        <is>
          <t>Orion Manufacturing</t>
        </is>
      </c>
      <c r="D35" s="20" t="inlineStr">
        <is>
          <t>P009</t>
        </is>
      </c>
      <c r="E35" s="20" t="inlineStr">
        <is>
          <t>Northstar Advisory</t>
        </is>
      </c>
      <c r="F35" s="20" t="inlineStr">
        <is>
          <t>Adoption</t>
        </is>
      </c>
      <c r="G35" s="20" t="inlineStr">
        <is>
          <t>User Training Session</t>
        </is>
      </c>
      <c r="H35" s="21" t="n">
        <v>44807</v>
      </c>
      <c r="I35" s="40">
        <f>IF(COUNTIFS('Survey Results'!B$5:B$52,B35,'Survey Results'!D$5:D$52,D35)=0,8,ROUND(SUMIFS('Survey Results'!L$5:L$52,'Survey Results'!B$5:B$52,B35,'Survey Results'!D$5:D$52,D35)/COUNTIFS('Survey Results'!B$5:B$52,B35,'Survey Results'!D$5:D$52,D35),0))</f>
        <v/>
      </c>
      <c r="J35" s="34" t="n">
        <v>8</v>
      </c>
      <c r="K35" s="20" t="inlineStr">
        <is>
          <t>Positive impact</t>
        </is>
      </c>
      <c r="L35" s="20" t="inlineStr">
        <is>
          <t>Adoption engagement with ScaleUp Managed</t>
        </is>
      </c>
      <c r="M35" s="9">
        <f>IF(COUNTIFS('Survey Results'!B$5:B$52,B35,'Survey Results'!D$5:D$52,D35)&gt;0,"Survey-derived","Internal Estimate")</f>
        <v/>
      </c>
      <c r="N35" s="43" t="inlineStr">
        <is>
          <t>—</t>
        </is>
      </c>
      <c r="O35" s="20" t="inlineStr">
        <is>
          <t>Nowhere</t>
        </is>
      </c>
    </row>
    <row r="36" ht="23.25" customHeight="1">
      <c r="A36" s="24" t="inlineStr">
        <is>
          <t>ENG-032</t>
        </is>
      </c>
      <c r="B36" s="24" t="inlineStr">
        <is>
          <t>C004</t>
        </is>
      </c>
      <c r="C36" s="24" t="inlineStr">
        <is>
          <t>Orion Manufacturing</t>
        </is>
      </c>
      <c r="D36" s="24" t="inlineStr">
        <is>
          <t>P009</t>
        </is>
      </c>
      <c r="E36" s="24" t="inlineStr">
        <is>
          <t>Northstar Advisory</t>
        </is>
      </c>
      <c r="F36" s="24" t="inlineStr">
        <is>
          <t>Retention</t>
        </is>
      </c>
      <c r="G36" s="24" t="inlineStr">
        <is>
          <t>Renewal Planning</t>
        </is>
      </c>
      <c r="H36" s="25" t="n">
        <v>44837</v>
      </c>
      <c r="I36" s="42">
        <f>IF(COUNTIFS('Survey Results'!B$5:B$52,B36,'Survey Results'!D$5:D$52,D36)=0,10,ROUND(SUMIFS('Survey Results'!L$5:L$52,'Survey Results'!B$5:B$52,B36,'Survey Results'!D$5:D$52,D36)/COUNTIFS('Survey Results'!B$5:B$52,B36,'Survey Results'!D$5:D$52,D36),0))</f>
        <v/>
      </c>
      <c r="J36" s="35" t="n">
        <v>2</v>
      </c>
      <c r="K36" s="24" t="inlineStr">
        <is>
          <t>Objective met</t>
        </is>
      </c>
      <c r="L36" s="24" t="inlineStr">
        <is>
          <t>Retention engagement with ScaleUp Managed</t>
        </is>
      </c>
      <c r="M36" s="9">
        <f>IF(COUNTIFS('Survey Results'!B$5:B$52,B36,'Survey Results'!D$5:D$52,D36)&gt;0,"Survey-derived","Internal Estimate")</f>
        <v/>
      </c>
      <c r="N36" s="43" t="inlineStr">
        <is>
          <t>—</t>
        </is>
      </c>
      <c r="O36" s="24" t="inlineStr">
        <is>
          <t>Nowhere</t>
        </is>
      </c>
    </row>
    <row r="37" ht="23.25" customHeight="1">
      <c r="A37" s="20" t="inlineStr">
        <is>
          <t>ENG-033</t>
        </is>
      </c>
      <c r="B37" s="20" t="inlineStr">
        <is>
          <t>C004</t>
        </is>
      </c>
      <c r="C37" s="20" t="inlineStr">
        <is>
          <t>Orion Manufacturing</t>
        </is>
      </c>
      <c r="D37" s="20" t="inlineStr">
        <is>
          <t>P001</t>
        </is>
      </c>
      <c r="E37" s="20" t="inlineStr">
        <is>
          <t>Apex Consulting</t>
        </is>
      </c>
      <c r="F37" s="20" t="inlineStr">
        <is>
          <t>Expansion</t>
        </is>
      </c>
      <c r="G37" s="20" t="inlineStr">
        <is>
          <t>ROI Review</t>
        </is>
      </c>
      <c r="H37" s="21" t="n">
        <v>44892</v>
      </c>
      <c r="I37" s="40">
        <f>IF(COUNTIFS('Survey Results'!B$5:B$52,B37,'Survey Results'!D$5:D$52,D37)=0,6,ROUND(SUMIFS('Survey Results'!L$5:L$52,'Survey Results'!B$5:B$52,B37,'Survey Results'!D$5:D$52,D37)/COUNTIFS('Survey Results'!B$5:B$52,B37,'Survey Results'!D$5:D$52,D37),0))</f>
        <v/>
      </c>
      <c r="J37" s="34" t="n">
        <v>4</v>
      </c>
      <c r="K37" s="20" t="inlineStr">
        <is>
          <t>Customer satisfied</t>
        </is>
      </c>
      <c r="L37" s="20" t="inlineStr">
        <is>
          <t>Expansion engagement with Apex Consulting</t>
        </is>
      </c>
      <c r="M37" s="9">
        <f>IF(COUNTIFS('Survey Results'!B$5:B$52,B37,'Survey Results'!D$5:D$52,D37)&gt;0,"Survey-derived","Internal Estimate")</f>
        <v/>
      </c>
      <c r="N37" s="43" t="inlineStr">
        <is>
          <t>—</t>
        </is>
      </c>
      <c r="O37" s="20" t="inlineStr">
        <is>
          <t>Nowhere</t>
        </is>
      </c>
    </row>
    <row r="38" ht="23.25" customHeight="1">
      <c r="A38" s="24" t="inlineStr">
        <is>
          <t>ENG-034</t>
        </is>
      </c>
      <c r="B38" s="24" t="inlineStr">
        <is>
          <t>C004</t>
        </is>
      </c>
      <c r="C38" s="24" t="inlineStr">
        <is>
          <t>Orion Manufacturing</t>
        </is>
      </c>
      <c r="D38" s="24" t="inlineStr">
        <is>
          <t>P001</t>
        </is>
      </c>
      <c r="E38" s="24" t="inlineStr">
        <is>
          <t>Apex Consulting</t>
        </is>
      </c>
      <c r="F38" s="24" t="inlineStr">
        <is>
          <t>Advocacy</t>
        </is>
      </c>
      <c r="G38" s="24" t="inlineStr">
        <is>
          <t>Speaking Engagement</t>
        </is>
      </c>
      <c r="H38" s="25" t="n">
        <v>44929</v>
      </c>
      <c r="I38" s="42">
        <f>'Survey Results'!L17</f>
        <v/>
      </c>
      <c r="J38" s="35" t="n">
        <v>2</v>
      </c>
      <c r="K38" s="24" t="inlineStr">
        <is>
          <t>Objective met</t>
        </is>
      </c>
      <c r="L38" s="24" t="inlineStr">
        <is>
          <t>Advocacy engagement with Apex Consulting</t>
        </is>
      </c>
      <c r="M38" s="41" t="inlineStr">
        <is>
          <t>Survey-validated</t>
        </is>
      </c>
      <c r="N38" s="9">
        <f>'Survey Results'!A17</f>
        <v/>
      </c>
      <c r="O38" s="24" t="inlineStr">
        <is>
          <t>Nowhere</t>
        </is>
      </c>
    </row>
    <row r="39" ht="15" customHeight="1">
      <c r="A39" s="20" t="inlineStr">
        <is>
          <t>ENG-035</t>
        </is>
      </c>
      <c r="B39" s="20" t="inlineStr">
        <is>
          <t>C004</t>
        </is>
      </c>
      <c r="C39" s="20" t="inlineStr">
        <is>
          <t>Orion Manufacturing</t>
        </is>
      </c>
      <c r="D39" s="20" t="inlineStr">
        <is>
          <t>P009</t>
        </is>
      </c>
      <c r="E39" s="20" t="inlineStr">
        <is>
          <t>Northstar Advisory</t>
        </is>
      </c>
      <c r="F39" s="20" t="inlineStr">
        <is>
          <t>Adoption</t>
        </is>
      </c>
      <c r="G39" s="20" t="inlineStr">
        <is>
          <t>User Training Session</t>
        </is>
      </c>
      <c r="H39" s="21" t="n">
        <v>44873</v>
      </c>
      <c r="I39" s="40">
        <f>IF(COUNTIFS('Survey Results'!B$5:B$52,B39,'Survey Results'!D$5:D$52,D39)=0,10,ROUND(SUMIFS('Survey Results'!L$5:L$52,'Survey Results'!B$5:B$52,B39,'Survey Results'!D$5:D$52,D39)/COUNTIFS('Survey Results'!B$5:B$52,B39,'Survey Results'!D$5:D$52,D39),0))</f>
        <v/>
      </c>
      <c r="J39" s="34" t="n">
        <v>8</v>
      </c>
      <c r="K39" s="20" t="inlineStr">
        <is>
          <t>Successful</t>
        </is>
      </c>
      <c r="L39" s="20" t="inlineStr">
        <is>
          <t>Follow-up adoption session</t>
        </is>
      </c>
      <c r="M39" s="9">
        <f>IF(COUNTIFS('Survey Results'!B$5:B$52,B39,'Survey Results'!D$5:D$52,D39)&gt;0,"Survey-derived","Internal Estimate")</f>
        <v/>
      </c>
      <c r="N39" s="43" t="inlineStr">
        <is>
          <t>—</t>
        </is>
      </c>
      <c r="O39" s="20" t="inlineStr">
        <is>
          <t>Nowhere</t>
        </is>
      </c>
    </row>
    <row r="40" ht="15" customHeight="1">
      <c r="A40" s="24" t="inlineStr">
        <is>
          <t>ENG-036</t>
        </is>
      </c>
      <c r="B40" s="24" t="inlineStr">
        <is>
          <t>C004</t>
        </is>
      </c>
      <c r="C40" s="24" t="inlineStr">
        <is>
          <t>Orion Manufacturing</t>
        </is>
      </c>
      <c r="D40" s="24" t="inlineStr">
        <is>
          <t>P009</t>
        </is>
      </c>
      <c r="E40" s="24" t="inlineStr">
        <is>
          <t>Northstar Advisory</t>
        </is>
      </c>
      <c r="F40" s="24" t="inlineStr">
        <is>
          <t>Retention</t>
        </is>
      </c>
      <c r="G40" s="24" t="inlineStr">
        <is>
          <t>QBR</t>
        </is>
      </c>
      <c r="H40" s="25" t="n">
        <v>45046</v>
      </c>
      <c r="I40" s="42">
        <f>'Survey Results'!L19</f>
        <v/>
      </c>
      <c r="J40" s="35" t="n">
        <v>4</v>
      </c>
      <c r="K40" s="24" t="inlineStr">
        <is>
          <t>Successful</t>
        </is>
      </c>
      <c r="L40" s="24" t="inlineStr">
        <is>
          <t>Follow-up retention session</t>
        </is>
      </c>
      <c r="M40" s="41" t="inlineStr">
        <is>
          <t>Survey-validated</t>
        </is>
      </c>
      <c r="N40" s="9">
        <f>'Survey Results'!A19</f>
        <v/>
      </c>
      <c r="O40" s="24" t="inlineStr">
        <is>
          <t>Nowhere</t>
        </is>
      </c>
    </row>
    <row r="41" ht="15" customHeight="1">
      <c r="A41" s="20" t="inlineStr">
        <is>
          <t>ENG-037</t>
        </is>
      </c>
      <c r="B41" s="20" t="inlineStr">
        <is>
          <t>C004</t>
        </is>
      </c>
      <c r="C41" s="20" t="inlineStr">
        <is>
          <t>Orion Manufacturing</t>
        </is>
      </c>
      <c r="D41" s="20" t="inlineStr">
        <is>
          <t>P009</t>
        </is>
      </c>
      <c r="E41" s="20" t="inlineStr">
        <is>
          <t>Northstar Advisory</t>
        </is>
      </c>
      <c r="F41" s="20" t="inlineStr">
        <is>
          <t>Expansion</t>
        </is>
      </c>
      <c r="G41" s="20" t="inlineStr">
        <is>
          <t>New Use Case Workshop</t>
        </is>
      </c>
      <c r="H41" s="21" t="n">
        <v>45020</v>
      </c>
      <c r="I41" s="40">
        <f>IF(COUNTIFS('Survey Results'!B$5:B$52,B41,'Survey Results'!D$5:D$52,D41)=0,9,ROUND(SUMIFS('Survey Results'!L$5:L$52,'Survey Results'!B$5:B$52,B41,'Survey Results'!D$5:D$52,D41)/COUNTIFS('Survey Results'!B$5:B$52,B41,'Survey Results'!D$5:D$52,D41),0))</f>
        <v/>
      </c>
      <c r="J41" s="34" t="n">
        <v>16</v>
      </c>
      <c r="K41" s="20" t="inlineStr">
        <is>
          <t>Successful</t>
        </is>
      </c>
      <c r="L41" s="20" t="inlineStr">
        <is>
          <t>Follow-up expansion session</t>
        </is>
      </c>
      <c r="M41" s="9">
        <f>IF(COUNTIFS('Survey Results'!B$5:B$52,B41,'Survey Results'!D$5:D$52,D41)&gt;0,"Survey-derived","Internal Estimate")</f>
        <v/>
      </c>
      <c r="N41" s="43" t="inlineStr">
        <is>
          <t>—</t>
        </is>
      </c>
      <c r="O41" s="20" t="inlineStr">
        <is>
          <t>Nowhere</t>
        </is>
      </c>
    </row>
    <row r="42" ht="23.25" customHeight="1">
      <c r="A42" s="24" t="inlineStr">
        <is>
          <t>ENG-038</t>
        </is>
      </c>
      <c r="B42" s="24" t="inlineStr">
        <is>
          <t>C005</t>
        </is>
      </c>
      <c r="C42" s="24" t="inlineStr">
        <is>
          <t>Zenith Logistics</t>
        </is>
      </c>
      <c r="D42" s="24" t="inlineStr">
        <is>
          <t>P002</t>
        </is>
      </c>
      <c r="E42" s="24" t="inlineStr">
        <is>
          <t>CloudBridge Solutions</t>
        </is>
      </c>
      <c r="F42" s="24" t="inlineStr">
        <is>
          <t>Acquisition</t>
        </is>
      </c>
      <c r="G42" s="24" t="inlineStr">
        <is>
          <t>Executive Briefing</t>
        </is>
      </c>
      <c r="H42" s="25" t="n">
        <v>44690</v>
      </c>
      <c r="I42" s="42">
        <f>'Survey Results'!L24</f>
        <v/>
      </c>
      <c r="J42" s="35" t="n">
        <v>16</v>
      </c>
      <c r="K42" s="24" t="inlineStr">
        <is>
          <t>Positive impact</t>
        </is>
      </c>
      <c r="L42" s="24" t="inlineStr">
        <is>
          <t>Acquisition engagement with CloudBridge Solutions</t>
        </is>
      </c>
      <c r="M42" s="41" t="inlineStr">
        <is>
          <t>Survey-validated</t>
        </is>
      </c>
      <c r="N42" s="9">
        <f>'Survey Results'!A24</f>
        <v/>
      </c>
      <c r="O42" s="24" t="inlineStr">
        <is>
          <t>CRM</t>
        </is>
      </c>
    </row>
    <row r="43" ht="23.25" customHeight="1">
      <c r="A43" s="20" t="inlineStr">
        <is>
          <t>ENG-039</t>
        </is>
      </c>
      <c r="B43" s="20" t="inlineStr">
        <is>
          <t>C005</t>
        </is>
      </c>
      <c r="C43" s="20" t="inlineStr">
        <is>
          <t>Zenith Logistics</t>
        </is>
      </c>
      <c r="D43" s="20" t="inlineStr">
        <is>
          <t>P008</t>
        </is>
      </c>
      <c r="E43" s="20" t="inlineStr">
        <is>
          <t>RapidDeploy Inc</t>
        </is>
      </c>
      <c r="F43" s="20" t="inlineStr">
        <is>
          <t>Onboarding</t>
        </is>
      </c>
      <c r="G43" s="20" t="inlineStr">
        <is>
          <t>Go-Live Support</t>
        </is>
      </c>
      <c r="H43" s="21" t="n">
        <v>44733</v>
      </c>
      <c r="I43" s="40">
        <f>IF(COUNTIFS('Survey Results'!B$5:B$52,B43,'Survey Results'!D$5:D$52,D43)=0,4,ROUND(SUMIFS('Survey Results'!L$5:L$52,'Survey Results'!B$5:B$52,B43,'Survey Results'!D$5:D$52,D43)/COUNTIFS('Survey Results'!B$5:B$52,B43,'Survey Results'!D$5:D$52,D43),0))</f>
        <v/>
      </c>
      <c r="J43" s="34" t="n">
        <v>16</v>
      </c>
      <c r="K43" s="20" t="inlineStr">
        <is>
          <t>Below expectations</t>
        </is>
      </c>
      <c r="L43" s="20" t="inlineStr">
        <is>
          <t>Onboarding engagement with RapidDeploy Inc</t>
        </is>
      </c>
      <c r="M43" s="9">
        <f>IF(COUNTIFS('Survey Results'!B$5:B$52,B43,'Survey Results'!D$5:D$52,D43)&gt;0,"Survey-derived","Internal Estimate")</f>
        <v/>
      </c>
      <c r="N43" s="43" t="inlineStr">
        <is>
          <t>—</t>
        </is>
      </c>
      <c r="O43" s="20" t="inlineStr">
        <is>
          <t>Nowhere</t>
        </is>
      </c>
    </row>
    <row r="44" ht="23.25" customHeight="1">
      <c r="A44" s="24" t="inlineStr">
        <is>
          <t>ENG-040</t>
        </is>
      </c>
      <c r="B44" s="24" t="inlineStr">
        <is>
          <t>C005</t>
        </is>
      </c>
      <c r="C44" s="24" t="inlineStr">
        <is>
          <t>Zenith Logistics</t>
        </is>
      </c>
      <c r="D44" s="24" t="inlineStr">
        <is>
          <t>P008</t>
        </is>
      </c>
      <c r="E44" s="24" t="inlineStr">
        <is>
          <t>RapidDeploy Inc</t>
        </is>
      </c>
      <c r="F44" s="24" t="inlineStr">
        <is>
          <t>Adoption</t>
        </is>
      </c>
      <c r="G44" s="24" t="inlineStr">
        <is>
          <t>Adoption Check-in</t>
        </is>
      </c>
      <c r="H44" s="25" t="n">
        <v>44788</v>
      </c>
      <c r="I44" s="42">
        <f>'Survey Results'!L22</f>
        <v/>
      </c>
      <c r="J44" s="35" t="n">
        <v>4</v>
      </c>
      <c r="K44" s="24" t="inlineStr">
        <is>
          <t>Below expectations</t>
        </is>
      </c>
      <c r="L44" s="24" t="inlineStr">
        <is>
          <t>Minimal partner involvement post-implementation</t>
        </is>
      </c>
      <c r="M44" s="41" t="inlineStr">
        <is>
          <t>Survey-validated</t>
        </is>
      </c>
      <c r="N44" s="9">
        <f>'Survey Results'!A22</f>
        <v/>
      </c>
      <c r="O44" s="24" t="inlineStr">
        <is>
          <t>Nowhere</t>
        </is>
      </c>
    </row>
    <row r="45" ht="23.25" customHeight="1">
      <c r="A45" s="20" t="inlineStr">
        <is>
          <t>ENG-041</t>
        </is>
      </c>
      <c r="B45" s="20" t="inlineStr">
        <is>
          <t>C005</t>
        </is>
      </c>
      <c r="C45" s="20" t="inlineStr">
        <is>
          <t>Zenith Logistics</t>
        </is>
      </c>
      <c r="D45" s="20" t="inlineStr">
        <is>
          <t>P005</t>
        </is>
      </c>
      <c r="E45" s="20" t="inlineStr">
        <is>
          <t>ManagedOps Pro</t>
        </is>
      </c>
      <c r="F45" s="20" t="inlineStr">
        <is>
          <t>Adoption</t>
        </is>
      </c>
      <c r="G45" s="20" t="inlineStr">
        <is>
          <t>Best Practice Review</t>
        </is>
      </c>
      <c r="H45" s="21" t="n">
        <v>44819</v>
      </c>
      <c r="I45" s="40">
        <f>IF(COUNTIFS('Survey Results'!B$5:B$52,B45,'Survey Results'!D$5:D$52,D45)=0,2,ROUND(SUMIFS('Survey Results'!L$5:L$52,'Survey Results'!B$5:B$52,B45,'Survey Results'!D$5:D$52,D45)/COUNTIFS('Survey Results'!B$5:B$52,B45,'Survey Results'!D$5:D$52,D45),0))</f>
        <v/>
      </c>
      <c r="J45" s="34" t="n">
        <v>2</v>
      </c>
      <c r="K45" s="20" t="inlineStr">
        <is>
          <t>Below expectations</t>
        </is>
      </c>
      <c r="L45" s="20" t="inlineStr">
        <is>
          <t>Minimal partner involvement post-implementation</t>
        </is>
      </c>
      <c r="M45" s="9">
        <f>IF(COUNTIFS('Survey Results'!B$5:B$52,B45,'Survey Results'!D$5:D$52,D45)&gt;0,"Survey-derived","Internal Estimate")</f>
        <v/>
      </c>
      <c r="N45" s="43" t="inlineStr">
        <is>
          <t>—</t>
        </is>
      </c>
      <c r="O45" s="20" t="inlineStr">
        <is>
          <t>Nowhere</t>
        </is>
      </c>
    </row>
    <row r="46" ht="23.25" customHeight="1">
      <c r="A46" s="24" t="inlineStr">
        <is>
          <t>ENG-042</t>
        </is>
      </c>
      <c r="B46" s="24" t="inlineStr">
        <is>
          <t>C005</t>
        </is>
      </c>
      <c r="C46" s="24" t="inlineStr">
        <is>
          <t>Zenith Logistics</t>
        </is>
      </c>
      <c r="D46" s="24" t="inlineStr">
        <is>
          <t>P005</t>
        </is>
      </c>
      <c r="E46" s="24" t="inlineStr">
        <is>
          <t>ManagedOps Pro</t>
        </is>
      </c>
      <c r="F46" s="24" t="inlineStr">
        <is>
          <t>Retention</t>
        </is>
      </c>
      <c r="G46" s="24" t="inlineStr">
        <is>
          <t>Risk Mitigation</t>
        </is>
      </c>
      <c r="H46" s="25" t="n">
        <v>44869</v>
      </c>
      <c r="I46" s="42">
        <f>'Survey Results'!L23</f>
        <v/>
      </c>
      <c r="J46" s="35" t="n">
        <v>8</v>
      </c>
      <c r="K46" s="24" t="inlineStr">
        <is>
          <t>Successful</t>
        </is>
      </c>
      <c r="L46" s="24" t="inlineStr">
        <is>
          <t>Retention engagement with ManagedOps Pro</t>
        </is>
      </c>
      <c r="M46" s="41" t="inlineStr">
        <is>
          <t>Survey-validated</t>
        </is>
      </c>
      <c r="N46" s="9">
        <f>'Survey Results'!A23</f>
        <v/>
      </c>
      <c r="O46" s="24" t="inlineStr">
        <is>
          <t>Support</t>
        </is>
      </c>
    </row>
    <row r="47" ht="23.25" customHeight="1">
      <c r="A47" s="20" t="inlineStr">
        <is>
          <t>ENG-043</t>
        </is>
      </c>
      <c r="B47" s="20" t="inlineStr">
        <is>
          <t>C005</t>
        </is>
      </c>
      <c r="C47" s="20" t="inlineStr">
        <is>
          <t>Zenith Logistics</t>
        </is>
      </c>
      <c r="D47" s="20" t="inlineStr">
        <is>
          <t>P002</t>
        </is>
      </c>
      <c r="E47" s="20" t="inlineStr">
        <is>
          <t>CloudBridge Solutions</t>
        </is>
      </c>
      <c r="F47" s="20" t="inlineStr">
        <is>
          <t>Acquisition</t>
        </is>
      </c>
      <c r="G47" s="20" t="inlineStr">
        <is>
          <t>Follow-up Call</t>
        </is>
      </c>
      <c r="H47" s="21" t="n">
        <v>44927</v>
      </c>
      <c r="I47" s="40">
        <f>IF(COUNTIFS('Survey Results'!B$5:B$52,B47,'Survey Results'!D$5:D$52,D47)=0,3,ROUND(SUMIFS('Survey Results'!L$5:L$52,'Survey Results'!B$5:B$52,B47,'Survey Results'!D$5:D$52,D47)/COUNTIFS('Survey Results'!B$5:B$52,B47,'Survey Results'!D$5:D$52,D47),0))</f>
        <v/>
      </c>
      <c r="J47" s="34" t="n">
        <v>8</v>
      </c>
      <c r="K47" s="20" t="inlineStr">
        <is>
          <t>No follow-through</t>
        </is>
      </c>
      <c r="L47" s="20" t="inlineStr">
        <is>
          <t>Partner disengaged after sale</t>
        </is>
      </c>
      <c r="M47" s="9">
        <f>IF(COUNTIFS('Survey Results'!B$5:B$52,B47,'Survey Results'!D$5:D$52,D47)&gt;0,"Survey-derived","Internal Estimate")</f>
        <v/>
      </c>
      <c r="N47" s="43" t="inlineStr">
        <is>
          <t>—</t>
        </is>
      </c>
      <c r="O47" s="20" t="inlineStr">
        <is>
          <t>CRM</t>
        </is>
      </c>
    </row>
    <row r="48" ht="23.25" customHeight="1">
      <c r="A48" s="24" t="inlineStr">
        <is>
          <t>ENG-044</t>
        </is>
      </c>
      <c r="B48" s="24" t="inlineStr">
        <is>
          <t>C005</t>
        </is>
      </c>
      <c r="C48" s="24" t="inlineStr">
        <is>
          <t>Zenith Logistics</t>
        </is>
      </c>
      <c r="D48" s="24" t="inlineStr">
        <is>
          <t>P002</t>
        </is>
      </c>
      <c r="E48" s="24" t="inlineStr">
        <is>
          <t>CloudBridge Solutions</t>
        </is>
      </c>
      <c r="F48" s="24" t="inlineStr">
        <is>
          <t>Retention</t>
        </is>
      </c>
      <c r="G48" s="24" t="inlineStr">
        <is>
          <t>Health Check</t>
        </is>
      </c>
      <c r="H48" s="25" t="n">
        <v>44962</v>
      </c>
      <c r="I48" s="42">
        <f>'Survey Results'!L21</f>
        <v/>
      </c>
      <c r="J48" s="35" t="n">
        <v>8</v>
      </c>
      <c r="K48" s="24" t="inlineStr">
        <is>
          <t>Below expectations</t>
        </is>
      </c>
      <c r="L48" s="24" t="inlineStr">
        <is>
          <t>No advocacy activity from this customer</t>
        </is>
      </c>
      <c r="M48" s="41" t="inlineStr">
        <is>
          <t>Survey-validated</t>
        </is>
      </c>
      <c r="N48" s="9">
        <f>'Survey Results'!A21</f>
        <v/>
      </c>
      <c r="O48" s="24" t="inlineStr">
        <is>
          <t>Nowhere</t>
        </is>
      </c>
    </row>
    <row r="49" ht="23.25" customHeight="1">
      <c r="A49" s="20" t="inlineStr">
        <is>
          <t>ENG-045</t>
        </is>
      </c>
      <c r="B49" s="20" t="inlineStr">
        <is>
          <t>C006</t>
        </is>
      </c>
      <c r="C49" s="20" t="inlineStr">
        <is>
          <t>Beacon Education</t>
        </is>
      </c>
      <c r="D49" s="20" t="inlineStr">
        <is>
          <t>P004</t>
        </is>
      </c>
      <c r="E49" s="20" t="inlineStr">
        <is>
          <t>EduTech Partners</t>
        </is>
      </c>
      <c r="F49" s="20" t="inlineStr">
        <is>
          <t>Acquisition</t>
        </is>
      </c>
      <c r="G49" s="20" t="inlineStr">
        <is>
          <t>Joint Discovery Call</t>
        </is>
      </c>
      <c r="H49" s="21" t="n">
        <v>44727</v>
      </c>
      <c r="I49" s="40">
        <f>'Survey Results'!L28</f>
        <v/>
      </c>
      <c r="J49" s="34" t="n">
        <v>4</v>
      </c>
      <c r="K49" s="20" t="inlineStr">
        <is>
          <t>Incomplete</t>
        </is>
      </c>
      <c r="L49" s="20" t="inlineStr">
        <is>
          <t>Acquisition engagement with EduTech Partners</t>
        </is>
      </c>
      <c r="M49" s="41" t="inlineStr">
        <is>
          <t>Survey-validated</t>
        </is>
      </c>
      <c r="N49" s="9">
        <f>'Survey Results'!A28</f>
        <v/>
      </c>
      <c r="O49" s="20" t="inlineStr">
        <is>
          <t>CRM</t>
        </is>
      </c>
    </row>
    <row r="50" ht="23.25" customHeight="1">
      <c r="A50" s="24" t="inlineStr">
        <is>
          <t>ENG-046</t>
        </is>
      </c>
      <c r="B50" s="24" t="inlineStr">
        <is>
          <t>C006</t>
        </is>
      </c>
      <c r="C50" s="24" t="inlineStr">
        <is>
          <t>Beacon Education</t>
        </is>
      </c>
      <c r="D50" s="24" t="inlineStr">
        <is>
          <t>P006</t>
        </is>
      </c>
      <c r="E50" s="24" t="inlineStr">
        <is>
          <t>NexGen Integrators</t>
        </is>
      </c>
      <c r="F50" s="24" t="inlineStr">
        <is>
          <t>Onboarding</t>
        </is>
      </c>
      <c r="G50" s="24" t="inlineStr">
        <is>
          <t>Go-Live Support</t>
        </is>
      </c>
      <c r="H50" s="25" t="n">
        <v>44772</v>
      </c>
      <c r="I50" s="42">
        <f>IF(COUNTIFS('Survey Results'!B$5:B$52,B50,'Survey Results'!D$5:D$52,D50)=0,5,ROUND(SUMIFS('Survey Results'!L$5:L$52,'Survey Results'!B$5:B$52,B50,'Survey Results'!D$5:D$52,D50)/COUNTIFS('Survey Results'!B$5:B$52,B50,'Survey Results'!D$5:D$52,D50),0))</f>
        <v/>
      </c>
      <c r="J50" s="35" t="n">
        <v>24</v>
      </c>
      <c r="K50" s="24" t="inlineStr">
        <is>
          <t>Delayed</t>
        </is>
      </c>
      <c r="L50" s="24" t="inlineStr">
        <is>
          <t>Onboarding engagement with NexGen Integrators</t>
        </is>
      </c>
      <c r="M50" s="9">
        <f>IF(COUNTIFS('Survey Results'!B$5:B$52,B50,'Survey Results'!D$5:D$52,D50)&gt;0,"Survey-derived","Internal Estimate")</f>
        <v/>
      </c>
      <c r="N50" s="43" t="inlineStr">
        <is>
          <t>—</t>
        </is>
      </c>
      <c r="O50" s="24" t="inlineStr">
        <is>
          <t>Nowhere</t>
        </is>
      </c>
    </row>
    <row r="51" ht="23.25" customHeight="1">
      <c r="A51" s="20" t="inlineStr">
        <is>
          <t>ENG-047</t>
        </is>
      </c>
      <c r="B51" s="20" t="inlineStr">
        <is>
          <t>C006</t>
        </is>
      </c>
      <c r="C51" s="20" t="inlineStr">
        <is>
          <t>Beacon Education</t>
        </is>
      </c>
      <c r="D51" s="20" t="inlineStr">
        <is>
          <t>P006</t>
        </is>
      </c>
      <c r="E51" s="20" t="inlineStr">
        <is>
          <t>NexGen Integrators</t>
        </is>
      </c>
      <c r="F51" s="20" t="inlineStr">
        <is>
          <t>Adoption</t>
        </is>
      </c>
      <c r="G51" s="20" t="inlineStr">
        <is>
          <t>Best Practice Review</t>
        </is>
      </c>
      <c r="H51" s="21" t="n">
        <v>44805</v>
      </c>
      <c r="I51" s="40">
        <f>'Survey Results'!L26</f>
        <v/>
      </c>
      <c r="J51" s="34" t="n">
        <v>16</v>
      </c>
      <c r="K51" s="20" t="inlineStr">
        <is>
          <t>Below expectations</t>
        </is>
      </c>
      <c r="L51" s="20" t="inlineStr">
        <is>
          <t>Adoption engagement with NexGen Integrators</t>
        </is>
      </c>
      <c r="M51" s="41" t="inlineStr">
        <is>
          <t>Survey-validated</t>
        </is>
      </c>
      <c r="N51" s="9">
        <f>'Survey Results'!A26</f>
        <v/>
      </c>
      <c r="O51" s="20" t="inlineStr">
        <is>
          <t>Nowhere</t>
        </is>
      </c>
    </row>
    <row r="52" ht="23.25" customHeight="1">
      <c r="A52" s="24" t="inlineStr">
        <is>
          <t>ENG-048</t>
        </is>
      </c>
      <c r="B52" s="24" t="inlineStr">
        <is>
          <t>C006</t>
        </is>
      </c>
      <c r="C52" s="24" t="inlineStr">
        <is>
          <t>Beacon Education</t>
        </is>
      </c>
      <c r="D52" s="24" t="inlineStr">
        <is>
          <t>P010</t>
        </is>
      </c>
      <c r="E52" s="24" t="inlineStr">
        <is>
          <t>SkillForge Academy</t>
        </is>
      </c>
      <c r="F52" s="24" t="inlineStr">
        <is>
          <t>Adoption</t>
        </is>
      </c>
      <c r="G52" s="24" t="inlineStr">
        <is>
          <t>Adoption Check-in</t>
        </is>
      </c>
      <c r="H52" s="25" t="n">
        <v>44860</v>
      </c>
      <c r="I52" s="42">
        <f>IF(COUNTIFS('Survey Results'!B$5:B$52,B52,'Survey Results'!D$5:D$52,D52)=0,7,ROUND(SUMIFS('Survey Results'!L$5:L$52,'Survey Results'!B$5:B$52,B52,'Survey Results'!D$5:D$52,D52)/COUNTIFS('Survey Results'!B$5:B$52,B52,'Survey Results'!D$5:D$52,D52),0))</f>
        <v/>
      </c>
      <c r="J52" s="35" t="n">
        <v>2</v>
      </c>
      <c r="K52" s="24" t="inlineStr">
        <is>
          <t>Successful</t>
        </is>
      </c>
      <c r="L52" s="24" t="inlineStr">
        <is>
          <t>Adoption engagement with SkillForge Academy</t>
        </is>
      </c>
      <c r="M52" s="9">
        <f>IF(COUNTIFS('Survey Results'!B$5:B$52,B52,'Survey Results'!D$5:D$52,D52)&gt;0,"Survey-derived","Internal Estimate")</f>
        <v/>
      </c>
      <c r="N52" s="43" t="inlineStr">
        <is>
          <t>—</t>
        </is>
      </c>
      <c r="O52" s="24" t="inlineStr">
        <is>
          <t>Nowhere</t>
        </is>
      </c>
    </row>
    <row r="53" ht="23.25" customHeight="1">
      <c r="A53" s="20" t="inlineStr">
        <is>
          <t>ENG-049</t>
        </is>
      </c>
      <c r="B53" s="20" t="inlineStr">
        <is>
          <t>C006</t>
        </is>
      </c>
      <c r="C53" s="20" t="inlineStr">
        <is>
          <t>Beacon Education</t>
        </is>
      </c>
      <c r="D53" s="20" t="inlineStr">
        <is>
          <t>P010</t>
        </is>
      </c>
      <c r="E53" s="20" t="inlineStr">
        <is>
          <t>SkillForge Academy</t>
        </is>
      </c>
      <c r="F53" s="20" t="inlineStr">
        <is>
          <t>Retention</t>
        </is>
      </c>
      <c r="G53" s="20" t="inlineStr">
        <is>
          <t>QBR</t>
        </is>
      </c>
      <c r="H53" s="21" t="n">
        <v>44904</v>
      </c>
      <c r="I53" s="40">
        <f>'Survey Results'!L27</f>
        <v/>
      </c>
      <c r="J53" s="34" t="n">
        <v>4</v>
      </c>
      <c r="K53" s="20" t="inlineStr">
        <is>
          <t>Positive impact</t>
        </is>
      </c>
      <c r="L53" s="20" t="inlineStr">
        <is>
          <t>Retention engagement with SkillForge Academy</t>
        </is>
      </c>
      <c r="M53" s="41" t="inlineStr">
        <is>
          <t>Survey-validated</t>
        </is>
      </c>
      <c r="N53" s="9">
        <f>'Survey Results'!A27</f>
        <v/>
      </c>
      <c r="O53" s="20" t="inlineStr">
        <is>
          <t>Nowhere</t>
        </is>
      </c>
    </row>
    <row r="54" ht="23.25" customHeight="1">
      <c r="A54" s="24" t="inlineStr">
        <is>
          <t>ENG-050</t>
        </is>
      </c>
      <c r="B54" s="24" t="inlineStr">
        <is>
          <t>C006</t>
        </is>
      </c>
      <c r="C54" s="24" t="inlineStr">
        <is>
          <t>Beacon Education</t>
        </is>
      </c>
      <c r="D54" s="24" t="inlineStr">
        <is>
          <t>P004</t>
        </is>
      </c>
      <c r="E54" s="24" t="inlineStr">
        <is>
          <t>EduTech Partners</t>
        </is>
      </c>
      <c r="F54" s="24" t="inlineStr">
        <is>
          <t>Expansion</t>
        </is>
      </c>
      <c r="G54" s="24" t="inlineStr">
        <is>
          <t>New Use Case Workshop</t>
        </is>
      </c>
      <c r="H54" s="25" t="n">
        <v>44943</v>
      </c>
      <c r="I54" s="42">
        <f>IF(COUNTIFS('Survey Results'!B$5:B$52,B54,'Survey Results'!D$5:D$52,D54)=0,8,ROUND(SUMIFS('Survey Results'!L$5:L$52,'Survey Results'!B$5:B$52,B54,'Survey Results'!D$5:D$52,D54)/COUNTIFS('Survey Results'!B$5:B$52,B54,'Survey Results'!D$5:D$52,D54),0))</f>
        <v/>
      </c>
      <c r="J54" s="35" t="n">
        <v>24</v>
      </c>
      <c r="K54" s="24" t="inlineStr">
        <is>
          <t>Positive impact</t>
        </is>
      </c>
      <c r="L54" s="24" t="inlineStr">
        <is>
          <t>Expansion engagement with EduTech Partners</t>
        </is>
      </c>
      <c r="M54" s="9">
        <f>IF(COUNTIFS('Survey Results'!B$5:B$52,B54,'Survey Results'!D$5:D$52,D54)&gt;0,"Survey-derived","Internal Estimate")</f>
        <v/>
      </c>
      <c r="N54" s="43" t="inlineStr">
        <is>
          <t>—</t>
        </is>
      </c>
      <c r="O54" s="24" t="inlineStr">
        <is>
          <t>Nowhere</t>
        </is>
      </c>
    </row>
    <row r="55" ht="23.25" customHeight="1">
      <c r="A55" s="20" t="inlineStr">
        <is>
          <t>ENG-051</t>
        </is>
      </c>
      <c r="B55" s="20" t="inlineStr">
        <is>
          <t>C006</t>
        </is>
      </c>
      <c r="C55" s="20" t="inlineStr">
        <is>
          <t>Beacon Education</t>
        </is>
      </c>
      <c r="D55" s="20" t="inlineStr">
        <is>
          <t>P004</t>
        </is>
      </c>
      <c r="E55" s="20" t="inlineStr">
        <is>
          <t>EduTech Partners</t>
        </is>
      </c>
      <c r="F55" s="20" t="inlineStr">
        <is>
          <t>Advocacy</t>
        </is>
      </c>
      <c r="G55" s="20" t="inlineStr">
        <is>
          <t>Peer Referral</t>
        </is>
      </c>
      <c r="H55" s="21" t="n">
        <v>44987</v>
      </c>
      <c r="I55" s="40">
        <f>'Survey Results'!L25</f>
        <v/>
      </c>
      <c r="J55" s="34" t="n">
        <v>4</v>
      </c>
      <c r="K55" s="20" t="inlineStr">
        <is>
          <t>Positive impact</t>
        </is>
      </c>
      <c r="L55" s="20" t="inlineStr">
        <is>
          <t>Advocacy engagement with EduTech Partners</t>
        </is>
      </c>
      <c r="M55" s="41" t="inlineStr">
        <is>
          <t>Survey-validated</t>
        </is>
      </c>
      <c r="N55" s="9">
        <f>'Survey Results'!A25</f>
        <v/>
      </c>
      <c r="O55" s="20" t="inlineStr">
        <is>
          <t>CRM</t>
        </is>
      </c>
    </row>
    <row r="56" ht="23.25" customHeight="1">
      <c r="A56" s="24" t="inlineStr">
        <is>
          <t>ENG-052</t>
        </is>
      </c>
      <c r="B56" s="24" t="inlineStr">
        <is>
          <t>C007</t>
        </is>
      </c>
      <c r="C56" s="24" t="inlineStr">
        <is>
          <t>Forge Industries</t>
        </is>
      </c>
      <c r="D56" s="24" t="inlineStr">
        <is>
          <t>P011</t>
        </is>
      </c>
      <c r="E56" s="24" t="inlineStr">
        <is>
          <t>TrueNorth Advisory</t>
        </is>
      </c>
      <c r="F56" s="24" t="inlineStr">
        <is>
          <t>Acquisition</t>
        </is>
      </c>
      <c r="G56" s="24" t="inlineStr">
        <is>
          <t>Referral Introduction</t>
        </is>
      </c>
      <c r="H56" s="25" t="n">
        <v>44756</v>
      </c>
      <c r="I56" s="42">
        <f>'Survey Results'!L32</f>
        <v/>
      </c>
      <c r="J56" s="35" t="n">
        <v>4</v>
      </c>
      <c r="K56" s="24" t="inlineStr">
        <is>
          <t>Successful</t>
        </is>
      </c>
      <c r="L56" s="24" t="inlineStr">
        <is>
          <t>Acquisition engagement with TrueNorth Advisory</t>
        </is>
      </c>
      <c r="M56" s="41" t="inlineStr">
        <is>
          <t>Survey-validated</t>
        </is>
      </c>
      <c r="N56" s="9">
        <f>'Survey Results'!A32</f>
        <v/>
      </c>
      <c r="O56" s="24" t="inlineStr">
        <is>
          <t>CRM</t>
        </is>
      </c>
    </row>
    <row r="57" ht="23.25" customHeight="1">
      <c r="A57" s="20" t="inlineStr">
        <is>
          <t>ENG-053</t>
        </is>
      </c>
      <c r="B57" s="20" t="inlineStr">
        <is>
          <t>C007</t>
        </is>
      </c>
      <c r="C57" s="20" t="inlineStr">
        <is>
          <t>Forge Industries</t>
        </is>
      </c>
      <c r="D57" s="20" t="inlineStr">
        <is>
          <t>P003</t>
        </is>
      </c>
      <c r="E57" s="20" t="inlineStr">
        <is>
          <t>DataForce Services</t>
        </is>
      </c>
      <c r="F57" s="20" t="inlineStr">
        <is>
          <t>Onboarding</t>
        </is>
      </c>
      <c r="G57" s="20" t="inlineStr">
        <is>
          <t>Go-Live Support</t>
        </is>
      </c>
      <c r="H57" s="21" t="n">
        <v>44787</v>
      </c>
      <c r="I57" s="40">
        <f>IF(COUNTIFS('Survey Results'!B$5:B$52,B57,'Survey Results'!D$5:D$52,D57)=0,6,ROUND(SUMIFS('Survey Results'!L$5:L$52,'Survey Results'!B$5:B$52,B57,'Survey Results'!D$5:D$52,D57)/COUNTIFS('Survey Results'!B$5:B$52,B57,'Survey Results'!D$5:D$52,D57),0))</f>
        <v/>
      </c>
      <c r="J57" s="34" t="n">
        <v>8</v>
      </c>
      <c r="K57" s="20" t="inlineStr">
        <is>
          <t>Positive impact</t>
        </is>
      </c>
      <c r="L57" s="20" t="inlineStr">
        <is>
          <t>Onboarding engagement with DataForce Services</t>
        </is>
      </c>
      <c r="M57" s="9">
        <f>IF(COUNTIFS('Survey Results'!B$5:B$52,B57,'Survey Results'!D$5:D$52,D57)&gt;0,"Survey-derived","Internal Estimate")</f>
        <v/>
      </c>
      <c r="N57" s="43" t="inlineStr">
        <is>
          <t>—</t>
        </is>
      </c>
      <c r="O57" s="20" t="inlineStr">
        <is>
          <t>Nowhere</t>
        </is>
      </c>
    </row>
    <row r="58" ht="23.25" customHeight="1">
      <c r="A58" s="24" t="inlineStr">
        <is>
          <t>ENG-054</t>
        </is>
      </c>
      <c r="B58" s="24" t="inlineStr">
        <is>
          <t>C007</t>
        </is>
      </c>
      <c r="C58" s="24" t="inlineStr">
        <is>
          <t>Forge Industries</t>
        </is>
      </c>
      <c r="D58" s="24" t="inlineStr">
        <is>
          <t>P003</t>
        </is>
      </c>
      <c r="E58" s="24" t="inlineStr">
        <is>
          <t>DataForce Services</t>
        </is>
      </c>
      <c r="F58" s="24" t="inlineStr">
        <is>
          <t>Adoption</t>
        </is>
      </c>
      <c r="G58" s="24" t="inlineStr">
        <is>
          <t>Adoption Check-in</t>
        </is>
      </c>
      <c r="H58" s="25" t="n">
        <v>44847</v>
      </c>
      <c r="I58" s="42">
        <f>'Survey Results'!L30</f>
        <v/>
      </c>
      <c r="J58" s="35" t="n">
        <v>8</v>
      </c>
      <c r="K58" s="24" t="inlineStr">
        <is>
          <t>Value demonstrated</t>
        </is>
      </c>
      <c r="L58" s="24" t="inlineStr">
        <is>
          <t>Adoption engagement with DataForce Services</t>
        </is>
      </c>
      <c r="M58" s="41" t="inlineStr">
        <is>
          <t>Survey-validated</t>
        </is>
      </c>
      <c r="N58" s="9">
        <f>'Survey Results'!A30</f>
        <v/>
      </c>
      <c r="O58" s="24" t="inlineStr">
        <is>
          <t>Nowhere</t>
        </is>
      </c>
    </row>
    <row r="59" ht="23.25" customHeight="1">
      <c r="A59" s="20" t="inlineStr">
        <is>
          <t>ENG-055</t>
        </is>
      </c>
      <c r="B59" s="20" t="inlineStr">
        <is>
          <t>C007</t>
        </is>
      </c>
      <c r="C59" s="20" t="inlineStr">
        <is>
          <t>Forge Industries</t>
        </is>
      </c>
      <c r="D59" s="20" t="inlineStr">
        <is>
          <t>P009</t>
        </is>
      </c>
      <c r="E59" s="20" t="inlineStr">
        <is>
          <t>Northstar Advisory</t>
        </is>
      </c>
      <c r="F59" s="20" t="inlineStr">
        <is>
          <t>Adoption</t>
        </is>
      </c>
      <c r="G59" s="20" t="inlineStr">
        <is>
          <t>User Training Session</t>
        </is>
      </c>
      <c r="H59" s="21" t="n">
        <v>44882</v>
      </c>
      <c r="I59" s="40">
        <f>IF(COUNTIFS('Survey Results'!B$5:B$52,B59,'Survey Results'!D$5:D$52,D59)=0,9,ROUND(SUMIFS('Survey Results'!L$5:L$52,'Survey Results'!B$5:B$52,B59,'Survey Results'!D$5:D$52,D59)/COUNTIFS('Survey Results'!B$5:B$52,B59,'Survey Results'!D$5:D$52,D59),0))</f>
        <v/>
      </c>
      <c r="J59" s="34" t="n">
        <v>2</v>
      </c>
      <c r="K59" s="20" t="inlineStr">
        <is>
          <t>Value demonstrated</t>
        </is>
      </c>
      <c r="L59" s="20" t="inlineStr">
        <is>
          <t>Adoption engagement with ScaleUp Managed</t>
        </is>
      </c>
      <c r="M59" s="9">
        <f>IF(COUNTIFS('Survey Results'!B$5:B$52,B59,'Survey Results'!D$5:D$52,D59)&gt;0,"Survey-derived","Internal Estimate")</f>
        <v/>
      </c>
      <c r="N59" s="43" t="inlineStr">
        <is>
          <t>—</t>
        </is>
      </c>
      <c r="O59" s="20" t="inlineStr">
        <is>
          <t>Nowhere</t>
        </is>
      </c>
    </row>
    <row r="60" ht="23.25" customHeight="1">
      <c r="A60" s="24" t="inlineStr">
        <is>
          <t>ENG-056</t>
        </is>
      </c>
      <c r="B60" s="24" t="inlineStr">
        <is>
          <t>C007</t>
        </is>
      </c>
      <c r="C60" s="24" t="inlineStr">
        <is>
          <t>Forge Industries</t>
        </is>
      </c>
      <c r="D60" s="24" t="inlineStr">
        <is>
          <t>P009</t>
        </is>
      </c>
      <c r="E60" s="24" t="inlineStr">
        <is>
          <t>Northstar Advisory</t>
        </is>
      </c>
      <c r="F60" s="24" t="inlineStr">
        <is>
          <t>Retention</t>
        </is>
      </c>
      <c r="G60" s="24" t="inlineStr">
        <is>
          <t>Renewal Planning</t>
        </is>
      </c>
      <c r="H60" s="25" t="n">
        <v>44936</v>
      </c>
      <c r="I60" s="42">
        <f>IF(COUNTIFS('Survey Results'!B$5:B$52,B60,'Survey Results'!D$5:D$52,D60)=0,8,ROUND(SUMIFS('Survey Results'!L$5:L$52,'Survey Results'!B$5:B$52,B60,'Survey Results'!D$5:D$52,D60)/COUNTIFS('Survey Results'!B$5:B$52,B60,'Survey Results'!D$5:D$52,D60),0))</f>
        <v/>
      </c>
      <c r="J60" s="35" t="n">
        <v>16</v>
      </c>
      <c r="K60" s="24" t="inlineStr">
        <is>
          <t>Objective met</t>
        </is>
      </c>
      <c r="L60" s="24" t="inlineStr">
        <is>
          <t>Retention engagement with ScaleUp Managed</t>
        </is>
      </c>
      <c r="M60" s="9">
        <f>IF(COUNTIFS('Survey Results'!B$5:B$52,B60,'Survey Results'!D$5:D$52,D60)&gt;0,"Survey-derived","Internal Estimate")</f>
        <v/>
      </c>
      <c r="N60" s="43" t="inlineStr">
        <is>
          <t>—</t>
        </is>
      </c>
      <c r="O60" s="24" t="inlineStr">
        <is>
          <t>Nowhere</t>
        </is>
      </c>
    </row>
    <row r="61" ht="23.25" customHeight="1">
      <c r="A61" s="20" t="inlineStr">
        <is>
          <t>ENG-057</t>
        </is>
      </c>
      <c r="B61" s="20" t="inlineStr">
        <is>
          <t>C007</t>
        </is>
      </c>
      <c r="C61" s="20" t="inlineStr">
        <is>
          <t>Forge Industries</t>
        </is>
      </c>
      <c r="D61" s="20" t="inlineStr">
        <is>
          <t>P011</t>
        </is>
      </c>
      <c r="E61" s="20" t="inlineStr">
        <is>
          <t>TrueNorth Advisory</t>
        </is>
      </c>
      <c r="F61" s="20" t="inlineStr">
        <is>
          <t>Expansion</t>
        </is>
      </c>
      <c r="G61" s="20" t="inlineStr">
        <is>
          <t>Expansion Proposal</t>
        </is>
      </c>
      <c r="H61" s="21" t="n">
        <v>44971</v>
      </c>
      <c r="I61" s="40">
        <f>IF(COUNTIFS('Survey Results'!B$5:B$52,B61,'Survey Results'!D$5:D$52,D61)=0,7,ROUND(SUMIFS('Survey Results'!L$5:L$52,'Survey Results'!B$5:B$52,B61,'Survey Results'!D$5:D$52,D61)/COUNTIFS('Survey Results'!B$5:B$52,B61,'Survey Results'!D$5:D$52,D61),0))</f>
        <v/>
      </c>
      <c r="J61" s="34" t="n">
        <v>8</v>
      </c>
      <c r="K61" s="20" t="inlineStr">
        <is>
          <t>Positive impact</t>
        </is>
      </c>
      <c r="L61" s="20" t="inlineStr">
        <is>
          <t>Expansion engagement with TrueNorth Advisory</t>
        </is>
      </c>
      <c r="M61" s="9">
        <f>IF(COUNTIFS('Survey Results'!B$5:B$52,B61,'Survey Results'!D$5:D$52,D61)&gt;0,"Survey-derived","Internal Estimate")</f>
        <v/>
      </c>
      <c r="N61" s="43" t="inlineStr">
        <is>
          <t>—</t>
        </is>
      </c>
      <c r="O61" s="20" t="inlineStr">
        <is>
          <t>Nowhere</t>
        </is>
      </c>
    </row>
    <row r="62" ht="23.25" customHeight="1">
      <c r="A62" s="24" t="inlineStr">
        <is>
          <t>ENG-058</t>
        </is>
      </c>
      <c r="B62" s="24" t="inlineStr">
        <is>
          <t>C007</t>
        </is>
      </c>
      <c r="C62" s="24" t="inlineStr">
        <is>
          <t>Forge Industries</t>
        </is>
      </c>
      <c r="D62" s="24" t="inlineStr">
        <is>
          <t>P011</t>
        </is>
      </c>
      <c r="E62" s="24" t="inlineStr">
        <is>
          <t>TrueNorth Advisory</t>
        </is>
      </c>
      <c r="F62" s="24" t="inlineStr">
        <is>
          <t>Advocacy</t>
        </is>
      </c>
      <c r="G62" s="24" t="inlineStr">
        <is>
          <t>Case Study Interview</t>
        </is>
      </c>
      <c r="H62" s="25" t="n">
        <v>45030</v>
      </c>
      <c r="I62" s="42">
        <f>'Survey Results'!L29</f>
        <v/>
      </c>
      <c r="J62" s="35" t="n">
        <v>2</v>
      </c>
      <c r="K62" s="24" t="inlineStr">
        <is>
          <t>Customer satisfied</t>
        </is>
      </c>
      <c r="L62" s="24" t="inlineStr">
        <is>
          <t>Advocacy engagement with TrueNorth Advisory</t>
        </is>
      </c>
      <c r="M62" s="41" t="inlineStr">
        <is>
          <t>Survey-validated</t>
        </is>
      </c>
      <c r="N62" s="9">
        <f>'Survey Results'!A29</f>
        <v/>
      </c>
      <c r="O62" s="24" t="inlineStr">
        <is>
          <t>Nowhere</t>
        </is>
      </c>
    </row>
    <row r="63" ht="15" customHeight="1">
      <c r="A63" s="20" t="inlineStr">
        <is>
          <t>ENG-059</t>
        </is>
      </c>
      <c r="B63" s="20" t="inlineStr">
        <is>
          <t>C007</t>
        </is>
      </c>
      <c r="C63" s="20" t="inlineStr">
        <is>
          <t>Forge Industries</t>
        </is>
      </c>
      <c r="D63" s="20" t="inlineStr">
        <is>
          <t>P009</t>
        </is>
      </c>
      <c r="E63" s="20" t="inlineStr">
        <is>
          <t>Northstar Advisory</t>
        </is>
      </c>
      <c r="F63" s="20" t="inlineStr">
        <is>
          <t>Adoption</t>
        </is>
      </c>
      <c r="G63" s="20" t="inlineStr">
        <is>
          <t>User Training Session</t>
        </is>
      </c>
      <c r="H63" s="21" t="n">
        <v>44954</v>
      </c>
      <c r="I63" s="40">
        <f>IF(COUNTIFS('Survey Results'!B$5:B$52,B63,'Survey Results'!D$5:D$52,D63)=0,10,ROUND(SUMIFS('Survey Results'!L$5:L$52,'Survey Results'!B$5:B$52,B63,'Survey Results'!D$5:D$52,D63)/COUNTIFS('Survey Results'!B$5:B$52,B63,'Survey Results'!D$5:D$52,D63),0))</f>
        <v/>
      </c>
      <c r="J63" s="34" t="n">
        <v>8</v>
      </c>
      <c r="K63" s="20" t="inlineStr">
        <is>
          <t>Successful</t>
        </is>
      </c>
      <c r="L63" s="20" t="inlineStr">
        <is>
          <t>Follow-up adoption session</t>
        </is>
      </c>
      <c r="M63" s="9">
        <f>IF(COUNTIFS('Survey Results'!B$5:B$52,B63,'Survey Results'!D$5:D$52,D63)&gt;0,"Survey-derived","Internal Estimate")</f>
        <v/>
      </c>
      <c r="N63" s="43" t="inlineStr">
        <is>
          <t>—</t>
        </is>
      </c>
      <c r="O63" s="20" t="inlineStr">
        <is>
          <t>Nowhere</t>
        </is>
      </c>
    </row>
    <row r="64" ht="15" customHeight="1">
      <c r="A64" s="24" t="inlineStr">
        <is>
          <t>ENG-060</t>
        </is>
      </c>
      <c r="B64" s="24" t="inlineStr">
        <is>
          <t>C007</t>
        </is>
      </c>
      <c r="C64" s="24" t="inlineStr">
        <is>
          <t>Forge Industries</t>
        </is>
      </c>
      <c r="D64" s="24" t="inlineStr">
        <is>
          <t>P009</t>
        </is>
      </c>
      <c r="E64" s="24" t="inlineStr">
        <is>
          <t>Northstar Advisory</t>
        </is>
      </c>
      <c r="F64" s="24" t="inlineStr">
        <is>
          <t>Retention</t>
        </is>
      </c>
      <c r="G64" s="24" t="inlineStr">
        <is>
          <t>Risk Mitigation</t>
        </is>
      </c>
      <c r="H64" s="25" t="n">
        <v>45077</v>
      </c>
      <c r="I64" s="42">
        <f>'Survey Results'!L31</f>
        <v/>
      </c>
      <c r="J64" s="35" t="n">
        <v>4</v>
      </c>
      <c r="K64" s="24" t="inlineStr">
        <is>
          <t>Successful</t>
        </is>
      </c>
      <c r="L64" s="24" t="inlineStr">
        <is>
          <t>Follow-up retention session</t>
        </is>
      </c>
      <c r="M64" s="41" t="inlineStr">
        <is>
          <t>Survey-validated</t>
        </is>
      </c>
      <c r="N64" s="9">
        <f>'Survey Results'!A31</f>
        <v/>
      </c>
      <c r="O64" s="24" t="inlineStr">
        <is>
          <t>Support</t>
        </is>
      </c>
    </row>
    <row r="65" ht="15" customHeight="1">
      <c r="A65" s="20" t="inlineStr">
        <is>
          <t>ENG-061</t>
        </is>
      </c>
      <c r="B65" s="20" t="inlineStr">
        <is>
          <t>C007</t>
        </is>
      </c>
      <c r="C65" s="20" t="inlineStr">
        <is>
          <t>Forge Industries</t>
        </is>
      </c>
      <c r="D65" s="20" t="inlineStr">
        <is>
          <t>P009</t>
        </is>
      </c>
      <c r="E65" s="20" t="inlineStr">
        <is>
          <t>Northstar Advisory</t>
        </is>
      </c>
      <c r="F65" s="20" t="inlineStr">
        <is>
          <t>Expansion</t>
        </is>
      </c>
      <c r="G65" s="20" t="inlineStr">
        <is>
          <t>Cross-sell Intro</t>
        </is>
      </c>
      <c r="H65" s="21" t="n">
        <v>44962</v>
      </c>
      <c r="I65" s="40">
        <f>IF(COUNTIFS('Survey Results'!B$5:B$52,B65,'Survey Results'!D$5:D$52,D65)=0,8,ROUND(SUMIFS('Survey Results'!L$5:L$52,'Survey Results'!B$5:B$52,B65,'Survey Results'!D$5:D$52,D65)/COUNTIFS('Survey Results'!B$5:B$52,B65,'Survey Results'!D$5:D$52,D65),0))</f>
        <v/>
      </c>
      <c r="J65" s="34" t="n">
        <v>4</v>
      </c>
      <c r="K65" s="20" t="inlineStr">
        <is>
          <t>Successful</t>
        </is>
      </c>
      <c r="L65" s="20" t="inlineStr">
        <is>
          <t>Follow-up expansion session</t>
        </is>
      </c>
      <c r="M65" s="9">
        <f>IF(COUNTIFS('Survey Results'!B$5:B$52,B65,'Survey Results'!D$5:D$52,D65)&gt;0,"Survey-derived","Internal Estimate")</f>
        <v/>
      </c>
      <c r="N65" s="43" t="inlineStr">
        <is>
          <t>—</t>
        </is>
      </c>
      <c r="O65" s="20" t="inlineStr">
        <is>
          <t>CRM</t>
        </is>
      </c>
    </row>
    <row r="66" ht="23.25" customHeight="1">
      <c r="A66" s="24" t="inlineStr">
        <is>
          <t>ENG-062</t>
        </is>
      </c>
      <c r="B66" s="24" t="inlineStr">
        <is>
          <t>C008</t>
        </is>
      </c>
      <c r="C66" s="24" t="inlineStr">
        <is>
          <t>Crestline Media</t>
        </is>
      </c>
      <c r="D66" s="24" t="inlineStr">
        <is>
          <t>P007</t>
        </is>
      </c>
      <c r="E66" s="24" t="inlineStr">
        <is>
          <t>PrimeAdvisory Group</t>
        </is>
      </c>
      <c r="F66" s="24" t="inlineStr">
        <is>
          <t>Acquisition</t>
        </is>
      </c>
      <c r="G66" s="24" t="inlineStr">
        <is>
          <t>Referral Introduction</t>
        </is>
      </c>
      <c r="H66" s="25" t="n">
        <v>44779</v>
      </c>
      <c r="I66" s="42">
        <f>'Survey Results'!L36</f>
        <v/>
      </c>
      <c r="J66" s="35" t="n">
        <v>4</v>
      </c>
      <c r="K66" s="24" t="inlineStr">
        <is>
          <t>Incomplete</t>
        </is>
      </c>
      <c r="L66" s="24" t="inlineStr">
        <is>
          <t>Acquisition engagement with PrimeAdvisory Group</t>
        </is>
      </c>
      <c r="M66" s="41" t="inlineStr">
        <is>
          <t>Survey-validated</t>
        </is>
      </c>
      <c r="N66" s="9">
        <f>'Survey Results'!A36</f>
        <v/>
      </c>
      <c r="O66" s="24" t="inlineStr">
        <is>
          <t>CRM</t>
        </is>
      </c>
    </row>
    <row r="67" ht="23.25" customHeight="1">
      <c r="A67" s="20" t="inlineStr">
        <is>
          <t>ENG-063</t>
        </is>
      </c>
      <c r="B67" s="20" t="inlineStr">
        <is>
          <t>C008</t>
        </is>
      </c>
      <c r="C67" s="20" t="inlineStr">
        <is>
          <t>Crestline Media</t>
        </is>
      </c>
      <c r="D67" s="20" t="inlineStr">
        <is>
          <t>P008</t>
        </is>
      </c>
      <c r="E67" s="20" t="inlineStr">
        <is>
          <t>RapidDeploy Inc</t>
        </is>
      </c>
      <c r="F67" s="20" t="inlineStr">
        <is>
          <t>Onboarding</t>
        </is>
      </c>
      <c r="G67" s="20" t="inlineStr">
        <is>
          <t>Technical Setup</t>
        </is>
      </c>
      <c r="H67" s="21" t="n">
        <v>44835</v>
      </c>
      <c r="I67" s="40">
        <f>IF(COUNTIFS('Survey Results'!B$5:B$52,B67,'Survey Results'!D$5:D$52,D67)=0,6,ROUND(SUMIFS('Survey Results'!L$5:L$52,'Survey Results'!B$5:B$52,B67,'Survey Results'!D$5:D$52,D67)/COUNTIFS('Survey Results'!B$5:B$52,B67,'Survey Results'!D$5:D$52,D67),0))</f>
        <v/>
      </c>
      <c r="J67" s="34" t="n">
        <v>2</v>
      </c>
      <c r="K67" s="20" t="inlineStr">
        <is>
          <t>Objective met</t>
        </is>
      </c>
      <c r="L67" s="20" t="inlineStr">
        <is>
          <t>Onboarding engagement with RapidDeploy Inc</t>
        </is>
      </c>
      <c r="M67" s="9">
        <f>IF(COUNTIFS('Survey Results'!B$5:B$52,B67,'Survey Results'!D$5:D$52,D67)&gt;0,"Survey-derived","Internal Estimate")</f>
        <v/>
      </c>
      <c r="N67" s="43" t="inlineStr">
        <is>
          <t>—</t>
        </is>
      </c>
      <c r="O67" s="20" t="inlineStr">
        <is>
          <t>PSA</t>
        </is>
      </c>
    </row>
    <row r="68" ht="23.25" customHeight="1">
      <c r="A68" s="24" t="inlineStr">
        <is>
          <t>ENG-064</t>
        </is>
      </c>
      <c r="B68" s="24" t="inlineStr">
        <is>
          <t>C008</t>
        </is>
      </c>
      <c r="C68" s="24" t="inlineStr">
        <is>
          <t>Crestline Media</t>
        </is>
      </c>
      <c r="D68" s="24" t="inlineStr">
        <is>
          <t>P008</t>
        </is>
      </c>
      <c r="E68" s="24" t="inlineStr">
        <is>
          <t>RapidDeploy Inc</t>
        </is>
      </c>
      <c r="F68" s="24" t="inlineStr">
        <is>
          <t>Adoption</t>
        </is>
      </c>
      <c r="G68" s="24" t="inlineStr">
        <is>
          <t>User Training Session</t>
        </is>
      </c>
      <c r="H68" s="25" t="n">
        <v>44875</v>
      </c>
      <c r="I68" s="42">
        <f>'Survey Results'!L34</f>
        <v/>
      </c>
      <c r="J68" s="35" t="n">
        <v>16</v>
      </c>
      <c r="K68" s="24" t="inlineStr">
        <is>
          <t>Below expectations</t>
        </is>
      </c>
      <c r="L68" s="24" t="inlineStr">
        <is>
          <t>Minimal partner involvement post-implementation</t>
        </is>
      </c>
      <c r="M68" s="41" t="inlineStr">
        <is>
          <t>Survey-validated</t>
        </is>
      </c>
      <c r="N68" s="9">
        <f>'Survey Results'!A34</f>
        <v/>
      </c>
      <c r="O68" s="24" t="inlineStr">
        <is>
          <t>Nowhere</t>
        </is>
      </c>
    </row>
    <row r="69" ht="23.25" customHeight="1">
      <c r="A69" s="20" t="inlineStr">
        <is>
          <t>ENG-065</t>
        </is>
      </c>
      <c r="B69" s="20" t="inlineStr">
        <is>
          <t>C008</t>
        </is>
      </c>
      <c r="C69" s="20" t="inlineStr">
        <is>
          <t>Crestline Media</t>
        </is>
      </c>
      <c r="D69" s="20" t="inlineStr">
        <is>
          <t>P006</t>
        </is>
      </c>
      <c r="E69" s="20" t="inlineStr">
        <is>
          <t>NexGen Integrators</t>
        </is>
      </c>
      <c r="F69" s="20" t="inlineStr">
        <is>
          <t>Adoption</t>
        </is>
      </c>
      <c r="G69" s="20" t="inlineStr">
        <is>
          <t>Best Practice Review</t>
        </is>
      </c>
      <c r="H69" s="21" t="n">
        <v>44917</v>
      </c>
      <c r="I69" s="40">
        <f>IF(COUNTIFS('Survey Results'!B$5:B$52,B69,'Survey Results'!D$5:D$52,D69)=0,2,ROUND(SUMIFS('Survey Results'!L$5:L$52,'Survey Results'!B$5:B$52,B69,'Survey Results'!D$5:D$52,D69)/COUNTIFS('Survey Results'!B$5:B$52,B69,'Survey Results'!D$5:D$52,D69),0))</f>
        <v/>
      </c>
      <c r="J69" s="34" t="n">
        <v>8</v>
      </c>
      <c r="K69" s="20" t="inlineStr">
        <is>
          <t>Below expectations</t>
        </is>
      </c>
      <c r="L69" s="20" t="inlineStr">
        <is>
          <t>Minimal partner involvement post-implementation</t>
        </is>
      </c>
      <c r="M69" s="9">
        <f>IF(COUNTIFS('Survey Results'!B$5:B$52,B69,'Survey Results'!D$5:D$52,D69)&gt;0,"Survey-derived","Internal Estimate")</f>
        <v/>
      </c>
      <c r="N69" s="43" t="inlineStr">
        <is>
          <t>—</t>
        </is>
      </c>
      <c r="O69" s="20" t="inlineStr">
        <is>
          <t>Nowhere</t>
        </is>
      </c>
    </row>
    <row r="70" ht="23.25" customHeight="1">
      <c r="A70" s="24" t="inlineStr">
        <is>
          <t>ENG-066</t>
        </is>
      </c>
      <c r="B70" s="24" t="inlineStr">
        <is>
          <t>C008</t>
        </is>
      </c>
      <c r="C70" s="24" t="inlineStr">
        <is>
          <t>Crestline Media</t>
        </is>
      </c>
      <c r="D70" s="24" t="inlineStr">
        <is>
          <t>P006</t>
        </is>
      </c>
      <c r="E70" s="24" t="inlineStr">
        <is>
          <t>NexGen Integrators</t>
        </is>
      </c>
      <c r="F70" s="24" t="inlineStr">
        <is>
          <t>Retention</t>
        </is>
      </c>
      <c r="G70" s="24" t="inlineStr">
        <is>
          <t>Health Check</t>
        </is>
      </c>
      <c r="H70" s="25" t="n">
        <v>44972</v>
      </c>
      <c r="I70" s="42">
        <f>'Survey Results'!L35</f>
        <v/>
      </c>
      <c r="J70" s="35" t="n">
        <v>24</v>
      </c>
      <c r="K70" s="24" t="inlineStr">
        <is>
          <t>Below expectations</t>
        </is>
      </c>
      <c r="L70" s="24" t="inlineStr">
        <is>
          <t>Retention engagement with NexGen Integrators</t>
        </is>
      </c>
      <c r="M70" s="41" t="inlineStr">
        <is>
          <t>Survey-validated</t>
        </is>
      </c>
      <c r="N70" s="9">
        <f>'Survey Results'!A35</f>
        <v/>
      </c>
      <c r="O70" s="24" t="inlineStr">
        <is>
          <t>Nowhere</t>
        </is>
      </c>
    </row>
    <row r="71" ht="23.25" customHeight="1">
      <c r="A71" s="20" t="inlineStr">
        <is>
          <t>ENG-067</t>
        </is>
      </c>
      <c r="B71" s="20" t="inlineStr">
        <is>
          <t>C008</t>
        </is>
      </c>
      <c r="C71" s="20" t="inlineStr">
        <is>
          <t>Crestline Media</t>
        </is>
      </c>
      <c r="D71" s="20" t="inlineStr">
        <is>
          <t>P007</t>
        </is>
      </c>
      <c r="E71" s="20" t="inlineStr">
        <is>
          <t>PrimeAdvisory Group</t>
        </is>
      </c>
      <c r="F71" s="20" t="inlineStr">
        <is>
          <t>Expansion</t>
        </is>
      </c>
      <c r="G71" s="20" t="inlineStr">
        <is>
          <t>Upsell Discovery</t>
        </is>
      </c>
      <c r="H71" s="21" t="n">
        <v>44997</v>
      </c>
      <c r="I71" s="40">
        <f>IF(COUNTIFS('Survey Results'!B$5:B$52,B71,'Survey Results'!D$5:D$52,D71)=0,5,ROUND(SUMIFS('Survey Results'!L$5:L$52,'Survey Results'!B$5:B$52,B71,'Survey Results'!D$5:D$52,D71)/COUNTIFS('Survey Results'!B$5:B$52,B71,'Survey Results'!D$5:D$52,D71),0))</f>
        <v/>
      </c>
      <c r="J71" s="34" t="n">
        <v>4</v>
      </c>
      <c r="K71" s="20" t="inlineStr">
        <is>
          <t>Partial success</t>
        </is>
      </c>
      <c r="L71" s="20" t="inlineStr">
        <is>
          <t>Expansion engagement with PrimeAdvisory Group</t>
        </is>
      </c>
      <c r="M71" s="9">
        <f>IF(COUNTIFS('Survey Results'!B$5:B$52,B71,'Survey Results'!D$5:D$52,D71)&gt;0,"Survey-derived","Internal Estimate")</f>
        <v/>
      </c>
      <c r="N71" s="43" t="inlineStr">
        <is>
          <t>—</t>
        </is>
      </c>
      <c r="O71" s="20" t="inlineStr">
        <is>
          <t>Nowhere</t>
        </is>
      </c>
    </row>
    <row r="72" ht="23.25" customHeight="1">
      <c r="A72" s="24" t="inlineStr">
        <is>
          <t>ENG-068</t>
        </is>
      </c>
      <c r="B72" s="24" t="inlineStr">
        <is>
          <t>C008</t>
        </is>
      </c>
      <c r="C72" s="24" t="inlineStr">
        <is>
          <t>Crestline Media</t>
        </is>
      </c>
      <c r="D72" s="24" t="inlineStr">
        <is>
          <t>P007</t>
        </is>
      </c>
      <c r="E72" s="24" t="inlineStr">
        <is>
          <t>PrimeAdvisory Group</t>
        </is>
      </c>
      <c r="F72" s="24" t="inlineStr">
        <is>
          <t>Retention</t>
        </is>
      </c>
      <c r="G72" s="24" t="inlineStr">
        <is>
          <t>Health Check</t>
        </is>
      </c>
      <c r="H72" s="25" t="n">
        <v>45048</v>
      </c>
      <c r="I72" s="42">
        <f>'Survey Results'!L33</f>
        <v/>
      </c>
      <c r="J72" s="35" t="n">
        <v>4</v>
      </c>
      <c r="K72" s="24" t="inlineStr">
        <is>
          <t>Below expectations</t>
        </is>
      </c>
      <c r="L72" s="24" t="inlineStr">
        <is>
          <t>No advocacy activity from this customer</t>
        </is>
      </c>
      <c r="M72" s="41" t="inlineStr">
        <is>
          <t>Survey-validated</t>
        </is>
      </c>
      <c r="N72" s="9">
        <f>'Survey Results'!A33</f>
        <v/>
      </c>
      <c r="O72" s="24" t="inlineStr">
        <is>
          <t>Nowhere</t>
        </is>
      </c>
    </row>
    <row r="73" ht="23.25" customHeight="1">
      <c r="A73" s="20" t="inlineStr">
        <is>
          <t>ENG-069</t>
        </is>
      </c>
      <c r="B73" s="20" t="inlineStr">
        <is>
          <t>C009</t>
        </is>
      </c>
      <c r="C73" s="20" t="inlineStr">
        <is>
          <t>Summit Energy</t>
        </is>
      </c>
      <c r="D73" s="20" t="inlineStr">
        <is>
          <t>P001</t>
        </is>
      </c>
      <c r="E73" s="20" t="inlineStr">
        <is>
          <t>Apex Consulting</t>
        </is>
      </c>
      <c r="F73" s="20" t="inlineStr">
        <is>
          <t>Acquisition</t>
        </is>
      </c>
      <c r="G73" s="20" t="inlineStr">
        <is>
          <t>Joint Discovery Call</t>
        </is>
      </c>
      <c r="H73" s="21" t="n">
        <v>44804</v>
      </c>
      <c r="I73" s="40">
        <f>'Survey Results'!L40</f>
        <v/>
      </c>
      <c r="J73" s="34" t="n">
        <v>16</v>
      </c>
      <c r="K73" s="20" t="inlineStr">
        <is>
          <t>Customer satisfied</t>
        </is>
      </c>
      <c r="L73" s="20" t="inlineStr">
        <is>
          <t>Acquisition engagement with Apex Consulting</t>
        </is>
      </c>
      <c r="M73" s="41" t="inlineStr">
        <is>
          <t>Survey-validated</t>
        </is>
      </c>
      <c r="N73" s="9">
        <f>'Survey Results'!A40</f>
        <v/>
      </c>
      <c r="O73" s="20" t="inlineStr">
        <is>
          <t>CRM</t>
        </is>
      </c>
    </row>
    <row r="74" ht="23.25" customHeight="1">
      <c r="A74" s="24" t="inlineStr">
        <is>
          <t>ENG-070</t>
        </is>
      </c>
      <c r="B74" s="24" t="inlineStr">
        <is>
          <t>C009</t>
        </is>
      </c>
      <c r="C74" s="24" t="inlineStr">
        <is>
          <t>Summit Energy</t>
        </is>
      </c>
      <c r="D74" s="24" t="inlineStr">
        <is>
          <t>P003</t>
        </is>
      </c>
      <c r="E74" s="24" t="inlineStr">
        <is>
          <t>DataForce Services</t>
        </is>
      </c>
      <c r="F74" s="24" t="inlineStr">
        <is>
          <t>Onboarding</t>
        </is>
      </c>
      <c r="G74" s="24" t="inlineStr">
        <is>
          <t>Technical Setup</t>
        </is>
      </c>
      <c r="H74" s="25" t="n">
        <v>44861</v>
      </c>
      <c r="I74" s="42">
        <f>IF(COUNTIFS('Survey Results'!B$5:B$52,B74,'Survey Results'!D$5:D$52,D74)=0,10,ROUND(SUMIFS('Survey Results'!L$5:L$52,'Survey Results'!B$5:B$52,B74,'Survey Results'!D$5:D$52,D74)/COUNTIFS('Survey Results'!B$5:B$52,B74,'Survey Results'!D$5:D$52,D74),0))</f>
        <v/>
      </c>
      <c r="J74" s="35" t="n">
        <v>8</v>
      </c>
      <c r="K74" s="24" t="inlineStr">
        <is>
          <t>Objective met</t>
        </is>
      </c>
      <c r="L74" s="24" t="inlineStr">
        <is>
          <t>Onboarding engagement with DataForce Services</t>
        </is>
      </c>
      <c r="M74" s="9">
        <f>IF(COUNTIFS('Survey Results'!B$5:B$52,B74,'Survey Results'!D$5:D$52,D74)&gt;0,"Survey-derived","Internal Estimate")</f>
        <v/>
      </c>
      <c r="N74" s="43" t="inlineStr">
        <is>
          <t>—</t>
        </is>
      </c>
      <c r="O74" s="24" t="inlineStr">
        <is>
          <t>PSA</t>
        </is>
      </c>
    </row>
    <row r="75" ht="23.25" customHeight="1">
      <c r="A75" s="20" t="inlineStr">
        <is>
          <t>ENG-071</t>
        </is>
      </c>
      <c r="B75" s="20" t="inlineStr">
        <is>
          <t>C009</t>
        </is>
      </c>
      <c r="C75" s="20" t="inlineStr">
        <is>
          <t>Summit Energy</t>
        </is>
      </c>
      <c r="D75" s="20" t="inlineStr">
        <is>
          <t>P003</t>
        </is>
      </c>
      <c r="E75" s="20" t="inlineStr">
        <is>
          <t>DataForce Services</t>
        </is>
      </c>
      <c r="F75" s="20" t="inlineStr">
        <is>
          <t>Adoption</t>
        </is>
      </c>
      <c r="G75" s="20" t="inlineStr">
        <is>
          <t>Process Optimization</t>
        </is>
      </c>
      <c r="H75" s="21" t="n">
        <v>44892</v>
      </c>
      <c r="I75" s="40">
        <f>'Survey Results'!L38</f>
        <v/>
      </c>
      <c r="J75" s="34" t="n">
        <v>8</v>
      </c>
      <c r="K75" s="20" t="inlineStr">
        <is>
          <t>Successful</t>
        </is>
      </c>
      <c r="L75" s="20" t="inlineStr">
        <is>
          <t>Adoption engagement with DataForce Services</t>
        </is>
      </c>
      <c r="M75" s="41" t="inlineStr">
        <is>
          <t>Survey-validated</t>
        </is>
      </c>
      <c r="N75" s="9">
        <f>'Survey Results'!A38</f>
        <v/>
      </c>
      <c r="O75" s="20" t="inlineStr">
        <is>
          <t>Nowhere</t>
        </is>
      </c>
    </row>
    <row r="76" ht="23.25" customHeight="1">
      <c r="A76" s="24" t="inlineStr">
        <is>
          <t>ENG-072</t>
        </is>
      </c>
      <c r="B76" s="24" t="inlineStr">
        <is>
          <t>C009</t>
        </is>
      </c>
      <c r="C76" s="24" t="inlineStr">
        <is>
          <t>Summit Energy</t>
        </is>
      </c>
      <c r="D76" s="24" t="inlineStr">
        <is>
          <t>P005</t>
        </is>
      </c>
      <c r="E76" s="24" t="inlineStr">
        <is>
          <t>ManagedOps Pro</t>
        </is>
      </c>
      <c r="F76" s="24" t="inlineStr">
        <is>
          <t>Adoption</t>
        </is>
      </c>
      <c r="G76" s="24" t="inlineStr">
        <is>
          <t>Best Practice Review</t>
        </is>
      </c>
      <c r="H76" s="25" t="n">
        <v>44945</v>
      </c>
      <c r="I76" s="42">
        <f>IF(COUNTIFS('Survey Results'!B$5:B$52,B76,'Survey Results'!D$5:D$52,D76)=0,6,ROUND(SUMIFS('Survey Results'!L$5:L$52,'Survey Results'!B$5:B$52,B76,'Survey Results'!D$5:D$52,D76)/COUNTIFS('Survey Results'!B$5:B$52,B76,'Survey Results'!D$5:D$52,D76),0))</f>
        <v/>
      </c>
      <c r="J76" s="35" t="n">
        <v>4</v>
      </c>
      <c r="K76" s="24" t="inlineStr">
        <is>
          <t>Objective met</t>
        </is>
      </c>
      <c r="L76" s="24" t="inlineStr">
        <is>
          <t>Adoption engagement with ManagedOps Pro</t>
        </is>
      </c>
      <c r="M76" s="9">
        <f>IF(COUNTIFS('Survey Results'!B$5:B$52,B76,'Survey Results'!D$5:D$52,D76)&gt;0,"Survey-derived","Internal Estimate")</f>
        <v/>
      </c>
      <c r="N76" s="43" t="inlineStr">
        <is>
          <t>—</t>
        </is>
      </c>
      <c r="O76" s="24" t="inlineStr">
        <is>
          <t>Nowhere</t>
        </is>
      </c>
    </row>
    <row r="77" ht="23.25" customHeight="1">
      <c r="A77" s="20" t="inlineStr">
        <is>
          <t>ENG-073</t>
        </is>
      </c>
      <c r="B77" s="20" t="inlineStr">
        <is>
          <t>C009</t>
        </is>
      </c>
      <c r="C77" s="20" t="inlineStr">
        <is>
          <t>Summit Energy</t>
        </is>
      </c>
      <c r="D77" s="20" t="inlineStr">
        <is>
          <t>P005</t>
        </is>
      </c>
      <c r="E77" s="20" t="inlineStr">
        <is>
          <t>ManagedOps Pro</t>
        </is>
      </c>
      <c r="F77" s="20" t="inlineStr">
        <is>
          <t>Retention</t>
        </is>
      </c>
      <c r="G77" s="20" t="inlineStr">
        <is>
          <t>Health Check</t>
        </is>
      </c>
      <c r="H77" s="21" t="n">
        <v>44990</v>
      </c>
      <c r="I77" s="40">
        <f>IF(COUNTIFS('Survey Results'!B$5:B$52,B77,'Survey Results'!D$5:D$52,D77)=0,8,ROUND(SUMIFS('Survey Results'!L$5:L$52,'Survey Results'!B$5:B$52,B77,'Survey Results'!D$5:D$52,D77)/COUNTIFS('Survey Results'!B$5:B$52,B77,'Survey Results'!D$5:D$52,D77),0))</f>
        <v/>
      </c>
      <c r="J77" s="34" t="n">
        <v>8</v>
      </c>
      <c r="K77" s="20" t="inlineStr">
        <is>
          <t>Customer satisfied</t>
        </is>
      </c>
      <c r="L77" s="20" t="inlineStr">
        <is>
          <t>Retention engagement with ManagedOps Pro</t>
        </is>
      </c>
      <c r="M77" s="9">
        <f>IF(COUNTIFS('Survey Results'!B$5:B$52,B77,'Survey Results'!D$5:D$52,D77)&gt;0,"Survey-derived","Internal Estimate")</f>
        <v/>
      </c>
      <c r="N77" s="43" t="inlineStr">
        <is>
          <t>—</t>
        </is>
      </c>
      <c r="O77" s="20" t="inlineStr">
        <is>
          <t>Nowhere</t>
        </is>
      </c>
    </row>
    <row r="78" ht="23.25" customHeight="1">
      <c r="A78" s="24" t="inlineStr">
        <is>
          <t>ENG-074</t>
        </is>
      </c>
      <c r="B78" s="24" t="inlineStr">
        <is>
          <t>C009</t>
        </is>
      </c>
      <c r="C78" s="24" t="inlineStr">
        <is>
          <t>Summit Energy</t>
        </is>
      </c>
      <c r="D78" s="24" t="inlineStr">
        <is>
          <t>P001</t>
        </is>
      </c>
      <c r="E78" s="24" t="inlineStr">
        <is>
          <t>Apex Consulting</t>
        </is>
      </c>
      <c r="F78" s="24" t="inlineStr">
        <is>
          <t>Expansion</t>
        </is>
      </c>
      <c r="G78" s="24" t="inlineStr">
        <is>
          <t>New Use Case Workshop</t>
        </is>
      </c>
      <c r="H78" s="25" t="n">
        <v>45047</v>
      </c>
      <c r="I78" s="42">
        <f>IF(COUNTIFS('Survey Results'!B$5:B$52,B78,'Survey Results'!D$5:D$52,D78)=0,8,ROUND(SUMIFS('Survey Results'!L$5:L$52,'Survey Results'!B$5:B$52,B78,'Survey Results'!D$5:D$52,D78)/COUNTIFS('Survey Results'!B$5:B$52,B78,'Survey Results'!D$5:D$52,D78),0))</f>
        <v/>
      </c>
      <c r="J78" s="35" t="n">
        <v>24</v>
      </c>
      <c r="K78" s="24" t="inlineStr">
        <is>
          <t>Customer satisfied</t>
        </is>
      </c>
      <c r="L78" s="24" t="inlineStr">
        <is>
          <t>Expansion engagement with Apex Consulting</t>
        </is>
      </c>
      <c r="M78" s="9">
        <f>IF(COUNTIFS('Survey Results'!B$5:B$52,B78,'Survey Results'!D$5:D$52,D78)&gt;0,"Survey-derived","Internal Estimate")</f>
        <v/>
      </c>
      <c r="N78" s="43" t="inlineStr">
        <is>
          <t>—</t>
        </is>
      </c>
      <c r="O78" s="24" t="inlineStr">
        <is>
          <t>Nowhere</t>
        </is>
      </c>
    </row>
    <row r="79" ht="23.25" customHeight="1">
      <c r="A79" s="20" t="inlineStr">
        <is>
          <t>ENG-075</t>
        </is>
      </c>
      <c r="B79" s="20" t="inlineStr">
        <is>
          <t>C009</t>
        </is>
      </c>
      <c r="C79" s="20" t="inlineStr">
        <is>
          <t>Summit Energy</t>
        </is>
      </c>
      <c r="D79" s="20" t="inlineStr">
        <is>
          <t>P001</t>
        </is>
      </c>
      <c r="E79" s="20" t="inlineStr">
        <is>
          <t>Apex Consulting</t>
        </is>
      </c>
      <c r="F79" s="20" t="inlineStr">
        <is>
          <t>Advocacy</t>
        </is>
      </c>
      <c r="G79" s="20" t="inlineStr">
        <is>
          <t>Case Study Interview</t>
        </is>
      </c>
      <c r="H79" s="21" t="n">
        <v>45074</v>
      </c>
      <c r="I79" s="40">
        <f>'Survey Results'!L37</f>
        <v/>
      </c>
      <c r="J79" s="34" t="n">
        <v>4</v>
      </c>
      <c r="K79" s="20" t="inlineStr">
        <is>
          <t>Successful</t>
        </is>
      </c>
      <c r="L79" s="20" t="inlineStr">
        <is>
          <t>Advocacy engagement with Apex Consulting</t>
        </is>
      </c>
      <c r="M79" s="41" t="inlineStr">
        <is>
          <t>Survey-validated</t>
        </is>
      </c>
      <c r="N79" s="9">
        <f>'Survey Results'!A37</f>
        <v/>
      </c>
      <c r="O79" s="20" t="inlineStr">
        <is>
          <t>Nowhere</t>
        </is>
      </c>
    </row>
    <row r="80" ht="15" customHeight="1">
      <c r="A80" s="24" t="inlineStr">
        <is>
          <t>ENG-076</t>
        </is>
      </c>
      <c r="B80" s="24" t="inlineStr">
        <is>
          <t>C009</t>
        </is>
      </c>
      <c r="C80" s="24" t="inlineStr">
        <is>
          <t>Summit Energy</t>
        </is>
      </c>
      <c r="D80" s="24" t="inlineStr">
        <is>
          <t>P005</t>
        </is>
      </c>
      <c r="E80" s="24" t="inlineStr">
        <is>
          <t>ManagedOps Pro</t>
        </is>
      </c>
      <c r="F80" s="24" t="inlineStr">
        <is>
          <t>Adoption</t>
        </is>
      </c>
      <c r="G80" s="24" t="inlineStr">
        <is>
          <t>User Training Session</t>
        </is>
      </c>
      <c r="H80" s="25" t="n">
        <v>45087</v>
      </c>
      <c r="I80" s="42">
        <f>IF(COUNTIFS('Survey Results'!B$5:B$52,B80,'Survey Results'!D$5:D$52,D80)=0,8,ROUND(SUMIFS('Survey Results'!L$5:L$52,'Survey Results'!B$5:B$52,B80,'Survey Results'!D$5:D$52,D80)/COUNTIFS('Survey Results'!B$5:B$52,B80,'Survey Results'!D$5:D$52,D80),0))</f>
        <v/>
      </c>
      <c r="J80" s="35" t="n">
        <v>16</v>
      </c>
      <c r="K80" s="24" t="inlineStr">
        <is>
          <t>Successful</t>
        </is>
      </c>
      <c r="L80" s="24" t="inlineStr">
        <is>
          <t>Follow-up adoption session</t>
        </is>
      </c>
      <c r="M80" s="9">
        <f>IF(COUNTIFS('Survey Results'!B$5:B$52,B80,'Survey Results'!D$5:D$52,D80)&gt;0,"Survey-derived","Internal Estimate")</f>
        <v/>
      </c>
      <c r="N80" s="43" t="inlineStr">
        <is>
          <t>—</t>
        </is>
      </c>
      <c r="O80" s="24" t="inlineStr">
        <is>
          <t>Nowhere</t>
        </is>
      </c>
    </row>
    <row r="81" ht="15" customHeight="1">
      <c r="A81" s="20" t="inlineStr">
        <is>
          <t>ENG-077</t>
        </is>
      </c>
      <c r="B81" s="20" t="inlineStr">
        <is>
          <t>C009</t>
        </is>
      </c>
      <c r="C81" s="20" t="inlineStr">
        <is>
          <t>Summit Energy</t>
        </is>
      </c>
      <c r="D81" s="20" t="inlineStr">
        <is>
          <t>P005</t>
        </is>
      </c>
      <c r="E81" s="20" t="inlineStr">
        <is>
          <t>ManagedOps Pro</t>
        </is>
      </c>
      <c r="F81" s="20" t="inlineStr">
        <is>
          <t>Retention</t>
        </is>
      </c>
      <c r="G81" s="20" t="inlineStr">
        <is>
          <t>Renewal Planning</t>
        </is>
      </c>
      <c r="H81" s="21" t="n">
        <v>45043</v>
      </c>
      <c r="I81" s="40">
        <f>IF(COUNTIFS('Survey Results'!B$5:B$52,B81,'Survey Results'!D$5:D$52,D81)=0,10,ROUND(SUMIFS('Survey Results'!L$5:L$52,'Survey Results'!B$5:B$52,B81,'Survey Results'!D$5:D$52,D81)/COUNTIFS('Survey Results'!B$5:B$52,B81,'Survey Results'!D$5:D$52,D81),0))</f>
        <v/>
      </c>
      <c r="J81" s="34" t="n">
        <v>8</v>
      </c>
      <c r="K81" s="20" t="inlineStr">
        <is>
          <t>Successful</t>
        </is>
      </c>
      <c r="L81" s="20" t="inlineStr">
        <is>
          <t>Follow-up retention session</t>
        </is>
      </c>
      <c r="M81" s="9">
        <f>IF(COUNTIFS('Survey Results'!B$5:B$52,B81,'Survey Results'!D$5:D$52,D81)&gt;0,"Survey-derived","Internal Estimate")</f>
        <v/>
      </c>
      <c r="N81" s="43" t="inlineStr">
        <is>
          <t>—</t>
        </is>
      </c>
      <c r="O81" s="20" t="inlineStr">
        <is>
          <t>Nowhere</t>
        </is>
      </c>
    </row>
    <row r="82" ht="15" customHeight="1">
      <c r="A82" s="24" t="inlineStr">
        <is>
          <t>ENG-078</t>
        </is>
      </c>
      <c r="B82" s="24" t="inlineStr">
        <is>
          <t>C009</t>
        </is>
      </c>
      <c r="C82" s="24" t="inlineStr">
        <is>
          <t>Summit Energy</t>
        </is>
      </c>
      <c r="D82" s="24" t="inlineStr">
        <is>
          <t>P005</t>
        </is>
      </c>
      <c r="E82" s="24" t="inlineStr">
        <is>
          <t>ManagedOps Pro</t>
        </is>
      </c>
      <c r="F82" s="24" t="inlineStr">
        <is>
          <t>Expansion</t>
        </is>
      </c>
      <c r="G82" s="24" t="inlineStr">
        <is>
          <t>Cross-sell Intro</t>
        </is>
      </c>
      <c r="H82" s="25" t="n">
        <v>45182</v>
      </c>
      <c r="I82" s="42">
        <f>'Survey Results'!L39</f>
        <v/>
      </c>
      <c r="J82" s="35" t="n">
        <v>16</v>
      </c>
      <c r="K82" s="24" t="inlineStr">
        <is>
          <t>Successful</t>
        </is>
      </c>
      <c r="L82" s="24" t="inlineStr">
        <is>
          <t>Follow-up expansion session</t>
        </is>
      </c>
      <c r="M82" s="41" t="inlineStr">
        <is>
          <t>Survey-validated</t>
        </is>
      </c>
      <c r="N82" s="9">
        <f>'Survey Results'!A39</f>
        <v/>
      </c>
      <c r="O82" s="24" t="inlineStr">
        <is>
          <t>CRM</t>
        </is>
      </c>
    </row>
    <row r="83" ht="23.25" customHeight="1">
      <c r="A83" s="20" t="inlineStr">
        <is>
          <t>ENG-079</t>
        </is>
      </c>
      <c r="B83" s="20" t="inlineStr">
        <is>
          <t>C010</t>
        </is>
      </c>
      <c r="C83" s="20" t="inlineStr">
        <is>
          <t>Vantage Tech</t>
        </is>
      </c>
      <c r="D83" s="20" t="inlineStr">
        <is>
          <t>P002</t>
        </is>
      </c>
      <c r="E83" s="20" t="inlineStr">
        <is>
          <t>CloudBridge Solutions</t>
        </is>
      </c>
      <c r="F83" s="20" t="inlineStr">
        <is>
          <t>Acquisition</t>
        </is>
      </c>
      <c r="G83" s="20" t="inlineStr">
        <is>
          <t>Referral Introduction</t>
        </is>
      </c>
      <c r="H83" s="21" t="n">
        <v>44835</v>
      </c>
      <c r="I83" s="40">
        <f>'Survey Results'!L44</f>
        <v/>
      </c>
      <c r="J83" s="34" t="n">
        <v>4</v>
      </c>
      <c r="K83" s="20" t="inlineStr">
        <is>
          <t>Incomplete</t>
        </is>
      </c>
      <c r="L83" s="20" t="inlineStr">
        <is>
          <t>Acquisition engagement with CloudBridge Solutions</t>
        </is>
      </c>
      <c r="M83" s="41" t="inlineStr">
        <is>
          <t>Survey-validated</t>
        </is>
      </c>
      <c r="N83" s="9">
        <f>'Survey Results'!A44</f>
        <v/>
      </c>
      <c r="O83" s="20" t="inlineStr">
        <is>
          <t>CRM</t>
        </is>
      </c>
    </row>
    <row r="84" ht="23.25" customHeight="1">
      <c r="A84" s="24" t="inlineStr">
        <is>
          <t>ENG-080</t>
        </is>
      </c>
      <c r="B84" s="24" t="inlineStr">
        <is>
          <t>C010</t>
        </is>
      </c>
      <c r="C84" s="24" t="inlineStr">
        <is>
          <t>Vantage Tech</t>
        </is>
      </c>
      <c r="D84" s="24" t="inlineStr">
        <is>
          <t>P012</t>
        </is>
      </c>
      <c r="E84" s="24" t="inlineStr">
        <is>
          <t>VeloCloud Tech</t>
        </is>
      </c>
      <c r="F84" s="24" t="inlineStr">
        <is>
          <t>Onboarding</t>
        </is>
      </c>
      <c r="G84" s="24" t="inlineStr">
        <is>
          <t>Implementation Kickoff</t>
        </is>
      </c>
      <c r="H84" s="25" t="n">
        <v>44888</v>
      </c>
      <c r="I84" s="42">
        <f>IF(COUNTIFS('Survey Results'!B$5:B$52,B84,'Survey Results'!D$5:D$52,D84)=0,8,ROUND(SUMIFS('Survey Results'!L$5:L$52,'Survey Results'!B$5:B$52,B84,'Survey Results'!D$5:D$52,D84)/COUNTIFS('Survey Results'!B$5:B$52,B84,'Survey Results'!D$5:D$52,D84),0))</f>
        <v/>
      </c>
      <c r="J84" s="35" t="n">
        <v>4</v>
      </c>
      <c r="K84" s="24" t="inlineStr">
        <is>
          <t>Value demonstrated</t>
        </is>
      </c>
      <c r="L84" s="24" t="inlineStr">
        <is>
          <t>Onboarding engagement with VeloCloud Tech</t>
        </is>
      </c>
      <c r="M84" s="9">
        <f>IF(COUNTIFS('Survey Results'!B$5:B$52,B84,'Survey Results'!D$5:D$52,D84)&gt;0,"Survey-derived","Internal Estimate")</f>
        <v/>
      </c>
      <c r="N84" s="43" t="inlineStr">
        <is>
          <t>—</t>
        </is>
      </c>
      <c r="O84" s="24" t="inlineStr">
        <is>
          <t>PSA</t>
        </is>
      </c>
    </row>
    <row r="85" ht="23.25" customHeight="1">
      <c r="A85" s="20" t="inlineStr">
        <is>
          <t>ENG-081</t>
        </is>
      </c>
      <c r="B85" s="20" t="inlineStr">
        <is>
          <t>C010</t>
        </is>
      </c>
      <c r="C85" s="20" t="inlineStr">
        <is>
          <t>Vantage Tech</t>
        </is>
      </c>
      <c r="D85" s="20" t="inlineStr">
        <is>
          <t>P012</t>
        </is>
      </c>
      <c r="E85" s="20" t="inlineStr">
        <is>
          <t>VeloCloud Tech</t>
        </is>
      </c>
      <c r="F85" s="20" t="inlineStr">
        <is>
          <t>Adoption</t>
        </is>
      </c>
      <c r="G85" s="20" t="inlineStr">
        <is>
          <t>Best Practice Review</t>
        </is>
      </c>
      <c r="H85" s="21" t="n">
        <v>44923</v>
      </c>
      <c r="I85" s="40">
        <f>'Survey Results'!L42</f>
        <v/>
      </c>
      <c r="J85" s="34" t="n">
        <v>16</v>
      </c>
      <c r="K85" s="20" t="inlineStr">
        <is>
          <t>Successful</t>
        </is>
      </c>
      <c r="L85" s="20" t="inlineStr">
        <is>
          <t>Adoption engagement with VeloCloud Tech</t>
        </is>
      </c>
      <c r="M85" s="41" t="inlineStr">
        <is>
          <t>Survey-validated</t>
        </is>
      </c>
      <c r="N85" s="9">
        <f>'Survey Results'!A42</f>
        <v/>
      </c>
      <c r="O85" s="20" t="inlineStr">
        <is>
          <t>Nowhere</t>
        </is>
      </c>
    </row>
    <row r="86" ht="23.25" customHeight="1">
      <c r="A86" s="24" t="inlineStr">
        <is>
          <t>ENG-082</t>
        </is>
      </c>
      <c r="B86" s="24" t="inlineStr">
        <is>
          <t>C010</t>
        </is>
      </c>
      <c r="C86" s="24" t="inlineStr">
        <is>
          <t>Vantage Tech</t>
        </is>
      </c>
      <c r="D86" s="24" t="inlineStr">
        <is>
          <t>P005</t>
        </is>
      </c>
      <c r="E86" s="24" t="inlineStr">
        <is>
          <t>ManagedOps Pro</t>
        </is>
      </c>
      <c r="F86" s="24" t="inlineStr">
        <is>
          <t>Adoption</t>
        </is>
      </c>
      <c r="G86" s="24" t="inlineStr">
        <is>
          <t>Feature Workshop</t>
        </is>
      </c>
      <c r="H86" s="25" t="n">
        <v>44973</v>
      </c>
      <c r="I86" s="42">
        <f>IF(COUNTIFS('Survey Results'!B$5:B$52,B86,'Survey Results'!D$5:D$52,D86)=0,5,ROUND(SUMIFS('Survey Results'!L$5:L$52,'Survey Results'!B$5:B$52,B86,'Survey Results'!D$5:D$52,D86)/COUNTIFS('Survey Results'!B$5:B$52,B86,'Survey Results'!D$5:D$52,D86),0))</f>
        <v/>
      </c>
      <c r="J86" s="35" t="n">
        <v>4</v>
      </c>
      <c r="K86" s="24" t="inlineStr">
        <is>
          <t>Below expectations</t>
        </is>
      </c>
      <c r="L86" s="24" t="inlineStr">
        <is>
          <t>Adoption engagement with ManagedOps Pro</t>
        </is>
      </c>
      <c r="M86" s="9">
        <f>IF(COUNTIFS('Survey Results'!B$5:B$52,B86,'Survey Results'!D$5:D$52,D86)&gt;0,"Survey-derived","Internal Estimate")</f>
        <v/>
      </c>
      <c r="N86" s="43" t="inlineStr">
        <is>
          <t>—</t>
        </is>
      </c>
      <c r="O86" s="24" t="inlineStr">
        <is>
          <t>Nowhere</t>
        </is>
      </c>
    </row>
    <row r="87" ht="23.25" customHeight="1">
      <c r="A87" s="20" t="inlineStr">
        <is>
          <t>ENG-083</t>
        </is>
      </c>
      <c r="B87" s="20" t="inlineStr">
        <is>
          <t>C010</t>
        </is>
      </c>
      <c r="C87" s="20" t="inlineStr">
        <is>
          <t>Vantage Tech</t>
        </is>
      </c>
      <c r="D87" s="20" t="inlineStr">
        <is>
          <t>P005</t>
        </is>
      </c>
      <c r="E87" s="20" t="inlineStr">
        <is>
          <t>ManagedOps Pro</t>
        </is>
      </c>
      <c r="F87" s="20" t="inlineStr">
        <is>
          <t>Retention</t>
        </is>
      </c>
      <c r="G87" s="20" t="inlineStr">
        <is>
          <t>Risk Mitigation</t>
        </is>
      </c>
      <c r="H87" s="21" t="n">
        <v>45025</v>
      </c>
      <c r="I87" s="40">
        <f>'Survey Results'!L43</f>
        <v/>
      </c>
      <c r="J87" s="34" t="n">
        <v>4</v>
      </c>
      <c r="K87" s="20" t="inlineStr">
        <is>
          <t>Positive impact</t>
        </is>
      </c>
      <c r="L87" s="20" t="inlineStr">
        <is>
          <t>Retention engagement with ManagedOps Pro</t>
        </is>
      </c>
      <c r="M87" s="41" t="inlineStr">
        <is>
          <t>Survey-validated</t>
        </is>
      </c>
      <c r="N87" s="9">
        <f>'Survey Results'!A43</f>
        <v/>
      </c>
      <c r="O87" s="20" t="inlineStr">
        <is>
          <t>Support</t>
        </is>
      </c>
    </row>
    <row r="88" ht="23.25" customHeight="1">
      <c r="A88" s="24" t="inlineStr">
        <is>
          <t>ENG-084</t>
        </is>
      </c>
      <c r="B88" s="24" t="inlineStr">
        <is>
          <t>C010</t>
        </is>
      </c>
      <c r="C88" s="24" t="inlineStr">
        <is>
          <t>Vantage Tech</t>
        </is>
      </c>
      <c r="D88" s="24" t="inlineStr">
        <is>
          <t>P002</t>
        </is>
      </c>
      <c r="E88" s="24" t="inlineStr">
        <is>
          <t>CloudBridge Solutions</t>
        </is>
      </c>
      <c r="F88" s="24" t="inlineStr">
        <is>
          <t>Expansion</t>
        </is>
      </c>
      <c r="G88" s="24" t="inlineStr">
        <is>
          <t>New Use Case Workshop</t>
        </is>
      </c>
      <c r="H88" s="25" t="n">
        <v>45062</v>
      </c>
      <c r="I88" s="42">
        <f>IF(COUNTIFS('Survey Results'!B$5:B$52,B88,'Survey Results'!D$5:D$52,D88)=0,7,ROUND(SUMIFS('Survey Results'!L$5:L$52,'Survey Results'!B$5:B$52,B88,'Survey Results'!D$5:D$52,D88)/COUNTIFS('Survey Results'!B$5:B$52,B88,'Survey Results'!D$5:D$52,D88),0))</f>
        <v/>
      </c>
      <c r="J88" s="35" t="n">
        <v>2</v>
      </c>
      <c r="K88" s="24" t="inlineStr">
        <is>
          <t>Positive impact</t>
        </is>
      </c>
      <c r="L88" s="24" t="inlineStr">
        <is>
          <t>Expansion engagement with CloudBridge Solutions</t>
        </is>
      </c>
      <c r="M88" s="9">
        <f>IF(COUNTIFS('Survey Results'!B$5:B$52,B88,'Survey Results'!D$5:D$52,D88)&gt;0,"Survey-derived","Internal Estimate")</f>
        <v/>
      </c>
      <c r="N88" s="43" t="inlineStr">
        <is>
          <t>—</t>
        </is>
      </c>
      <c r="O88" s="24" t="inlineStr">
        <is>
          <t>Nowhere</t>
        </is>
      </c>
    </row>
    <row r="89" ht="23.25" customHeight="1">
      <c r="A89" s="20" t="inlineStr">
        <is>
          <t>ENG-085</t>
        </is>
      </c>
      <c r="B89" s="20" t="inlineStr">
        <is>
          <t>C010</t>
        </is>
      </c>
      <c r="C89" s="20" t="inlineStr">
        <is>
          <t>Vantage Tech</t>
        </is>
      </c>
      <c r="D89" s="20" t="inlineStr">
        <is>
          <t>P002</t>
        </is>
      </c>
      <c r="E89" s="20" t="inlineStr">
        <is>
          <t>CloudBridge Solutions</t>
        </is>
      </c>
      <c r="F89" s="20" t="inlineStr">
        <is>
          <t>Retention</t>
        </is>
      </c>
      <c r="G89" s="20" t="inlineStr">
        <is>
          <t>Renewal Planning</t>
        </is>
      </c>
      <c r="H89" s="21" t="n">
        <v>45115</v>
      </c>
      <c r="I89" s="40">
        <f>'Survey Results'!L41</f>
        <v/>
      </c>
      <c r="J89" s="34" t="n">
        <v>4</v>
      </c>
      <c r="K89" s="20" t="inlineStr">
        <is>
          <t>Partial success</t>
        </is>
      </c>
      <c r="L89" s="20" t="inlineStr">
        <is>
          <t>Shifted from advocacy to retention focus</t>
        </is>
      </c>
      <c r="M89" s="41" t="inlineStr">
        <is>
          <t>Survey-validated</t>
        </is>
      </c>
      <c r="N89" s="9">
        <f>'Survey Results'!A41</f>
        <v/>
      </c>
      <c r="O89" s="20" t="inlineStr">
        <is>
          <t>Nowhere</t>
        </is>
      </c>
    </row>
    <row r="90" ht="23.25" customHeight="1">
      <c r="A90" s="24" t="inlineStr">
        <is>
          <t>ENG-086</t>
        </is>
      </c>
      <c r="B90" s="24" t="inlineStr">
        <is>
          <t>C011</t>
        </is>
      </c>
      <c r="C90" s="24" t="inlineStr">
        <is>
          <t>Horizon Pharma</t>
        </is>
      </c>
      <c r="D90" s="24" t="inlineStr">
        <is>
          <t>P011</t>
        </is>
      </c>
      <c r="E90" s="24" t="inlineStr">
        <is>
          <t>TrueNorth Advisory</t>
        </is>
      </c>
      <c r="F90" s="24" t="inlineStr">
        <is>
          <t>Acquisition</t>
        </is>
      </c>
      <c r="G90" s="24" t="inlineStr">
        <is>
          <t>Referral Introduction</t>
        </is>
      </c>
      <c r="H90" s="25" t="n">
        <v>44874</v>
      </c>
      <c r="I90" s="42">
        <f>'Survey Results'!L48</f>
        <v/>
      </c>
      <c r="J90" s="35" t="n">
        <v>24</v>
      </c>
      <c r="K90" s="24" t="inlineStr">
        <is>
          <t>Positive impact</t>
        </is>
      </c>
      <c r="L90" s="24" t="inlineStr">
        <is>
          <t>Acquisition engagement with TrueNorth Advisory</t>
        </is>
      </c>
      <c r="M90" s="41" t="inlineStr">
        <is>
          <t>Survey-validated</t>
        </is>
      </c>
      <c r="N90" s="9">
        <f>'Survey Results'!A48</f>
        <v/>
      </c>
      <c r="O90" s="24" t="inlineStr">
        <is>
          <t>CRM</t>
        </is>
      </c>
    </row>
    <row r="91" ht="23.25" customHeight="1">
      <c r="A91" s="20" t="inlineStr">
        <is>
          <t>ENG-087</t>
        </is>
      </c>
      <c r="B91" s="20" t="inlineStr">
        <is>
          <t>C011</t>
        </is>
      </c>
      <c r="C91" s="20" t="inlineStr">
        <is>
          <t>Horizon Pharma</t>
        </is>
      </c>
      <c r="D91" s="20" t="inlineStr">
        <is>
          <t>P003</t>
        </is>
      </c>
      <c r="E91" s="20" t="inlineStr">
        <is>
          <t>DataForce Services</t>
        </is>
      </c>
      <c r="F91" s="20" t="inlineStr">
        <is>
          <t>Onboarding</t>
        </is>
      </c>
      <c r="G91" s="20" t="inlineStr">
        <is>
          <t>Technical Setup</t>
        </is>
      </c>
      <c r="H91" s="21" t="n">
        <v>44921</v>
      </c>
      <c r="I91" s="40">
        <f>IF(COUNTIFS('Survey Results'!B$5:B$52,B91,'Survey Results'!D$5:D$52,D91)=0,8,ROUND(SUMIFS('Survey Results'!L$5:L$52,'Survey Results'!B$5:B$52,B91,'Survey Results'!D$5:D$52,D91)/COUNTIFS('Survey Results'!B$5:B$52,B91,'Survey Results'!D$5:D$52,D91),0))</f>
        <v/>
      </c>
      <c r="J91" s="34" t="n">
        <v>8</v>
      </c>
      <c r="K91" s="20" t="inlineStr">
        <is>
          <t>Positive impact</t>
        </is>
      </c>
      <c r="L91" s="20" t="inlineStr">
        <is>
          <t>Onboarding engagement with DataForce Services</t>
        </is>
      </c>
      <c r="M91" s="9">
        <f>IF(COUNTIFS('Survey Results'!B$5:B$52,B91,'Survey Results'!D$5:D$52,D91)&gt;0,"Survey-derived","Internal Estimate")</f>
        <v/>
      </c>
      <c r="N91" s="43" t="inlineStr">
        <is>
          <t>—</t>
        </is>
      </c>
      <c r="O91" s="20" t="inlineStr">
        <is>
          <t>PSA</t>
        </is>
      </c>
    </row>
    <row r="92" ht="23.25" customHeight="1">
      <c r="A92" s="24" t="inlineStr">
        <is>
          <t>ENG-088</t>
        </is>
      </c>
      <c r="B92" s="24" t="inlineStr">
        <is>
          <t>C011</t>
        </is>
      </c>
      <c r="C92" s="24" t="inlineStr">
        <is>
          <t>Horizon Pharma</t>
        </is>
      </c>
      <c r="D92" s="24" t="inlineStr">
        <is>
          <t>P003</t>
        </is>
      </c>
      <c r="E92" s="24" t="inlineStr">
        <is>
          <t>DataForce Services</t>
        </is>
      </c>
      <c r="F92" s="24" t="inlineStr">
        <is>
          <t>Adoption</t>
        </is>
      </c>
      <c r="G92" s="24" t="inlineStr">
        <is>
          <t>Best Practice Review</t>
        </is>
      </c>
      <c r="H92" s="25" t="n">
        <v>44952</v>
      </c>
      <c r="I92" s="42">
        <f>'Survey Results'!L46</f>
        <v/>
      </c>
      <c r="J92" s="35" t="n">
        <v>16</v>
      </c>
      <c r="K92" s="24" t="inlineStr">
        <is>
          <t>Customer satisfied</t>
        </is>
      </c>
      <c r="L92" s="24" t="inlineStr">
        <is>
          <t>Adoption engagement with DataForce Services</t>
        </is>
      </c>
      <c r="M92" s="41" t="inlineStr">
        <is>
          <t>Survey-validated</t>
        </is>
      </c>
      <c r="N92" s="9">
        <f>'Survey Results'!A46</f>
        <v/>
      </c>
      <c r="O92" s="24" t="inlineStr">
        <is>
          <t>Nowhere</t>
        </is>
      </c>
    </row>
    <row r="93" ht="23.25" customHeight="1">
      <c r="A93" s="20" t="inlineStr">
        <is>
          <t>ENG-089</t>
        </is>
      </c>
      <c r="B93" s="20" t="inlineStr">
        <is>
          <t>C011</t>
        </is>
      </c>
      <c r="C93" s="20" t="inlineStr">
        <is>
          <t>Horizon Pharma</t>
        </is>
      </c>
      <c r="D93" s="20" t="inlineStr">
        <is>
          <t>P009</t>
        </is>
      </c>
      <c r="E93" s="20" t="inlineStr">
        <is>
          <t>Northstar Advisory</t>
        </is>
      </c>
      <c r="F93" s="20" t="inlineStr">
        <is>
          <t>Adoption</t>
        </is>
      </c>
      <c r="G93" s="20" t="inlineStr">
        <is>
          <t>Feature Workshop</t>
        </is>
      </c>
      <c r="H93" s="21" t="n">
        <v>44999</v>
      </c>
      <c r="I93" s="40">
        <f>IF(COUNTIFS('Survey Results'!B$5:B$52,B93,'Survey Results'!D$5:D$52,D93)=0,8,ROUND(SUMIFS('Survey Results'!L$5:L$52,'Survey Results'!B$5:B$52,B93,'Survey Results'!D$5:D$52,D93)/COUNTIFS('Survey Results'!B$5:B$52,B93,'Survey Results'!D$5:D$52,D93),0))</f>
        <v/>
      </c>
      <c r="J93" s="34" t="n">
        <v>16</v>
      </c>
      <c r="K93" s="20" t="inlineStr">
        <is>
          <t>Objective met</t>
        </is>
      </c>
      <c r="L93" s="20" t="inlineStr">
        <is>
          <t>Adoption engagement with ScaleUp Managed</t>
        </is>
      </c>
      <c r="M93" s="9">
        <f>IF(COUNTIFS('Survey Results'!B$5:B$52,B93,'Survey Results'!D$5:D$52,D93)&gt;0,"Survey-derived","Internal Estimate")</f>
        <v/>
      </c>
      <c r="N93" s="43" t="inlineStr">
        <is>
          <t>—</t>
        </is>
      </c>
      <c r="O93" s="20" t="inlineStr">
        <is>
          <t>Nowhere</t>
        </is>
      </c>
    </row>
    <row r="94" ht="23.25" customHeight="1">
      <c r="A94" s="24" t="inlineStr">
        <is>
          <t>ENG-090</t>
        </is>
      </c>
      <c r="B94" s="24" t="inlineStr">
        <is>
          <t>C011</t>
        </is>
      </c>
      <c r="C94" s="24" t="inlineStr">
        <is>
          <t>Horizon Pharma</t>
        </is>
      </c>
      <c r="D94" s="24" t="inlineStr">
        <is>
          <t>P009</t>
        </is>
      </c>
      <c r="E94" s="24" t="inlineStr">
        <is>
          <t>Northstar Advisory</t>
        </is>
      </c>
      <c r="F94" s="24" t="inlineStr">
        <is>
          <t>Retention</t>
        </is>
      </c>
      <c r="G94" s="24" t="inlineStr">
        <is>
          <t>Executive Alignment</t>
        </is>
      </c>
      <c r="H94" s="25" t="n">
        <v>45059</v>
      </c>
      <c r="I94" s="42">
        <f>IF(COUNTIFS('Survey Results'!B$5:B$52,B94,'Survey Results'!D$5:D$52,D94)=0,8,ROUND(SUMIFS('Survey Results'!L$5:L$52,'Survey Results'!B$5:B$52,B94,'Survey Results'!D$5:D$52,D94)/COUNTIFS('Survey Results'!B$5:B$52,B94,'Survey Results'!D$5:D$52,D94),0))</f>
        <v/>
      </c>
      <c r="J94" s="35" t="n">
        <v>2</v>
      </c>
      <c r="K94" s="24" t="inlineStr">
        <is>
          <t>Successful</t>
        </is>
      </c>
      <c r="L94" s="24" t="inlineStr">
        <is>
          <t>Retention engagement with ScaleUp Managed</t>
        </is>
      </c>
      <c r="M94" s="9">
        <f>IF(COUNTIFS('Survey Results'!B$5:B$52,B94,'Survey Results'!D$5:D$52,D94)&gt;0,"Survey-derived","Internal Estimate")</f>
        <v/>
      </c>
      <c r="N94" s="43" t="inlineStr">
        <is>
          <t>—</t>
        </is>
      </c>
      <c r="O94" s="24" t="inlineStr">
        <is>
          <t>Nowhere</t>
        </is>
      </c>
    </row>
    <row r="95" ht="23.25" customHeight="1">
      <c r="A95" s="20" t="inlineStr">
        <is>
          <t>ENG-091</t>
        </is>
      </c>
      <c r="B95" s="20" t="inlineStr">
        <is>
          <t>C011</t>
        </is>
      </c>
      <c r="C95" s="20" t="inlineStr">
        <is>
          <t>Horizon Pharma</t>
        </is>
      </c>
      <c r="D95" s="20" t="inlineStr">
        <is>
          <t>P011</t>
        </is>
      </c>
      <c r="E95" s="20" t="inlineStr">
        <is>
          <t>TrueNorth Advisory</t>
        </is>
      </c>
      <c r="F95" s="20" t="inlineStr">
        <is>
          <t>Expansion</t>
        </is>
      </c>
      <c r="G95" s="20" t="inlineStr">
        <is>
          <t>ROI Review</t>
        </is>
      </c>
      <c r="H95" s="21" t="n">
        <v>45092</v>
      </c>
      <c r="I95" s="40">
        <f>IF(COUNTIFS('Survey Results'!B$5:B$52,B95,'Survey Results'!D$5:D$52,D95)=0,10,ROUND(SUMIFS('Survey Results'!L$5:L$52,'Survey Results'!B$5:B$52,B95,'Survey Results'!D$5:D$52,D95)/COUNTIFS('Survey Results'!B$5:B$52,B95,'Survey Results'!D$5:D$52,D95),0))</f>
        <v/>
      </c>
      <c r="J95" s="34" t="n">
        <v>8</v>
      </c>
      <c r="K95" s="20" t="inlineStr">
        <is>
          <t>Successful</t>
        </is>
      </c>
      <c r="L95" s="20" t="inlineStr">
        <is>
          <t>Expansion engagement with TrueNorth Advisory</t>
        </is>
      </c>
      <c r="M95" s="9">
        <f>IF(COUNTIFS('Survey Results'!B$5:B$52,B95,'Survey Results'!D$5:D$52,D95)&gt;0,"Survey-derived","Internal Estimate")</f>
        <v/>
      </c>
      <c r="N95" s="43" t="inlineStr">
        <is>
          <t>—</t>
        </is>
      </c>
      <c r="O95" s="20" t="inlineStr">
        <is>
          <t>Nowhere</t>
        </is>
      </c>
    </row>
    <row r="96" ht="23.25" customHeight="1">
      <c r="A96" s="24" t="inlineStr">
        <is>
          <t>ENG-092</t>
        </is>
      </c>
      <c r="B96" s="24" t="inlineStr">
        <is>
          <t>C011</t>
        </is>
      </c>
      <c r="C96" s="24" t="inlineStr">
        <is>
          <t>Horizon Pharma</t>
        </is>
      </c>
      <c r="D96" s="24" t="inlineStr">
        <is>
          <t>P011</t>
        </is>
      </c>
      <c r="E96" s="24" t="inlineStr">
        <is>
          <t>TrueNorth Advisory</t>
        </is>
      </c>
      <c r="F96" s="24" t="inlineStr">
        <is>
          <t>Advocacy</t>
        </is>
      </c>
      <c r="G96" s="24" t="inlineStr">
        <is>
          <t>Case Study Interview</t>
        </is>
      </c>
      <c r="H96" s="25" t="n">
        <v>45151</v>
      </c>
      <c r="I96" s="42">
        <f>'Survey Results'!L45</f>
        <v/>
      </c>
      <c r="J96" s="35" t="n">
        <v>4</v>
      </c>
      <c r="K96" s="24" t="inlineStr">
        <is>
          <t>Customer satisfied</t>
        </is>
      </c>
      <c r="L96" s="24" t="inlineStr">
        <is>
          <t>Advocacy engagement with TrueNorth Advisory</t>
        </is>
      </c>
      <c r="M96" s="41" t="inlineStr">
        <is>
          <t>Survey-validated</t>
        </is>
      </c>
      <c r="N96" s="9">
        <f>'Survey Results'!A45</f>
        <v/>
      </c>
      <c r="O96" s="24" t="inlineStr">
        <is>
          <t>Nowhere</t>
        </is>
      </c>
    </row>
    <row r="97" ht="15" customHeight="1">
      <c r="A97" s="20" t="inlineStr">
        <is>
          <t>ENG-093</t>
        </is>
      </c>
      <c r="B97" s="20" t="inlineStr">
        <is>
          <t>C011</t>
        </is>
      </c>
      <c r="C97" s="20" t="inlineStr">
        <is>
          <t>Horizon Pharma</t>
        </is>
      </c>
      <c r="D97" s="20" t="inlineStr">
        <is>
          <t>P009</t>
        </is>
      </c>
      <c r="E97" s="20" t="inlineStr">
        <is>
          <t>Northstar Advisory</t>
        </is>
      </c>
      <c r="F97" s="20" t="inlineStr">
        <is>
          <t>Adoption</t>
        </is>
      </c>
      <c r="G97" s="20" t="inlineStr">
        <is>
          <t>Adoption Check-in</t>
        </is>
      </c>
      <c r="H97" s="21" t="n">
        <v>45217</v>
      </c>
      <c r="I97" s="40">
        <f>IF(COUNTIFS('Survey Results'!B$5:B$52,B97,'Survey Results'!D$5:D$52,D97)=0,10,ROUND(SUMIFS('Survey Results'!L$5:L$52,'Survey Results'!B$5:B$52,B97,'Survey Results'!D$5:D$52,D97)/COUNTIFS('Survey Results'!B$5:B$52,B97,'Survey Results'!D$5:D$52,D97),0))</f>
        <v/>
      </c>
      <c r="J97" s="34" t="n">
        <v>4</v>
      </c>
      <c r="K97" s="20" t="inlineStr">
        <is>
          <t>Successful</t>
        </is>
      </c>
      <c r="L97" s="20" t="inlineStr">
        <is>
          <t>Follow-up adoption session</t>
        </is>
      </c>
      <c r="M97" s="9">
        <f>IF(COUNTIFS('Survey Results'!B$5:B$52,B97,'Survey Results'!D$5:D$52,D97)&gt;0,"Survey-derived","Internal Estimate")</f>
        <v/>
      </c>
      <c r="N97" s="43" t="inlineStr">
        <is>
          <t>—</t>
        </is>
      </c>
      <c r="O97" s="20" t="inlineStr">
        <is>
          <t>Nowhere</t>
        </is>
      </c>
    </row>
    <row r="98" ht="15" customHeight="1">
      <c r="A98" s="24" t="inlineStr">
        <is>
          <t>ENG-094</t>
        </is>
      </c>
      <c r="B98" s="24" t="inlineStr">
        <is>
          <t>C011</t>
        </is>
      </c>
      <c r="C98" s="24" t="inlineStr">
        <is>
          <t>Horizon Pharma</t>
        </is>
      </c>
      <c r="D98" s="24" t="inlineStr">
        <is>
          <t>P009</t>
        </is>
      </c>
      <c r="E98" s="24" t="inlineStr">
        <is>
          <t>Northstar Advisory</t>
        </is>
      </c>
      <c r="F98" s="24" t="inlineStr">
        <is>
          <t>Retention</t>
        </is>
      </c>
      <c r="G98" s="24" t="inlineStr">
        <is>
          <t>Executive Alignment</t>
        </is>
      </c>
      <c r="H98" s="25" t="n">
        <v>45209</v>
      </c>
      <c r="I98" s="42">
        <f>IF(COUNTIFS('Survey Results'!B$5:B$52,B98,'Survey Results'!D$5:D$52,D98)=0,8,ROUND(SUMIFS('Survey Results'!L$5:L$52,'Survey Results'!B$5:B$52,B98,'Survey Results'!D$5:D$52,D98)/COUNTIFS('Survey Results'!B$5:B$52,B98,'Survey Results'!D$5:D$52,D98),0))</f>
        <v/>
      </c>
      <c r="J98" s="35" t="n">
        <v>8</v>
      </c>
      <c r="K98" s="24" t="inlineStr">
        <is>
          <t>Successful</t>
        </is>
      </c>
      <c r="L98" s="24" t="inlineStr">
        <is>
          <t>Follow-up retention session</t>
        </is>
      </c>
      <c r="M98" s="9">
        <f>IF(COUNTIFS('Survey Results'!B$5:B$52,B98,'Survey Results'!D$5:D$52,D98)&gt;0,"Survey-derived","Internal Estimate")</f>
        <v/>
      </c>
      <c r="N98" s="43" t="inlineStr">
        <is>
          <t>—</t>
        </is>
      </c>
      <c r="O98" s="24" t="inlineStr">
        <is>
          <t>Nowhere</t>
        </is>
      </c>
    </row>
    <row r="99" ht="15" customHeight="1">
      <c r="A99" s="20" t="inlineStr">
        <is>
          <t>ENG-095</t>
        </is>
      </c>
      <c r="B99" s="20" t="inlineStr">
        <is>
          <t>C011</t>
        </is>
      </c>
      <c r="C99" s="20" t="inlineStr">
        <is>
          <t>Horizon Pharma</t>
        </is>
      </c>
      <c r="D99" s="20" t="inlineStr">
        <is>
          <t>P009</t>
        </is>
      </c>
      <c r="E99" s="20" t="inlineStr">
        <is>
          <t>Northstar Advisory</t>
        </is>
      </c>
      <c r="F99" s="20" t="inlineStr">
        <is>
          <t>Expansion</t>
        </is>
      </c>
      <c r="G99" s="20" t="inlineStr">
        <is>
          <t>Upsell Discovery</t>
        </is>
      </c>
      <c r="H99" s="21" t="n">
        <v>45243</v>
      </c>
      <c r="I99" s="40">
        <f>'Survey Results'!L47</f>
        <v/>
      </c>
      <c r="J99" s="34" t="n">
        <v>4</v>
      </c>
      <c r="K99" s="20" t="inlineStr">
        <is>
          <t>Successful</t>
        </is>
      </c>
      <c r="L99" s="20" t="inlineStr">
        <is>
          <t>Follow-up expansion session</t>
        </is>
      </c>
      <c r="M99" s="41" t="inlineStr">
        <is>
          <t>Survey-validated</t>
        </is>
      </c>
      <c r="N99" s="9">
        <f>'Survey Results'!A47</f>
        <v/>
      </c>
      <c r="O99" s="20" t="inlineStr">
        <is>
          <t>Nowhere</t>
        </is>
      </c>
    </row>
    <row r="100" ht="23.25" customHeight="1">
      <c r="A100" s="24" t="inlineStr">
        <is>
          <t>ENG-096</t>
        </is>
      </c>
      <c r="B100" s="24" t="inlineStr">
        <is>
          <t>C012</t>
        </is>
      </c>
      <c r="C100" s="24" t="inlineStr">
        <is>
          <t>Keystone Bank</t>
        </is>
      </c>
      <c r="D100" s="24" t="inlineStr">
        <is>
          <t>P007</t>
        </is>
      </c>
      <c r="E100" s="24" t="inlineStr">
        <is>
          <t>PrimeAdvisory Group</t>
        </is>
      </c>
      <c r="F100" s="24" t="inlineStr">
        <is>
          <t>Acquisition</t>
        </is>
      </c>
      <c r="G100" s="24" t="inlineStr">
        <is>
          <t>Executive Briefing</t>
        </is>
      </c>
      <c r="H100" s="25" t="n">
        <v>44903</v>
      </c>
      <c r="I100" s="42">
        <f>'Survey Results'!L52</f>
        <v/>
      </c>
      <c r="J100" s="35" t="n">
        <v>4</v>
      </c>
      <c r="K100" s="24" t="inlineStr">
        <is>
          <t>Below expectations</t>
        </is>
      </c>
      <c r="L100" s="24" t="inlineStr">
        <is>
          <t>Acquisition engagement with PrimeAdvisory Group</t>
        </is>
      </c>
      <c r="M100" s="41" t="inlineStr">
        <is>
          <t>Survey-validated</t>
        </is>
      </c>
      <c r="N100" s="9">
        <f>'Survey Results'!A52</f>
        <v/>
      </c>
      <c r="O100" s="24" t="inlineStr">
        <is>
          <t>CRM</t>
        </is>
      </c>
    </row>
    <row r="101" ht="23.25" customHeight="1">
      <c r="A101" s="20" t="inlineStr">
        <is>
          <t>ENG-097</t>
        </is>
      </c>
      <c r="B101" s="20" t="inlineStr">
        <is>
          <t>C012</t>
        </is>
      </c>
      <c r="C101" s="20" t="inlineStr">
        <is>
          <t>Keystone Bank</t>
        </is>
      </c>
      <c r="D101" s="20" t="inlineStr">
        <is>
          <t>P008</t>
        </is>
      </c>
      <c r="E101" s="20" t="inlineStr">
        <is>
          <t>RapidDeploy Inc</t>
        </is>
      </c>
      <c r="F101" s="20" t="inlineStr">
        <is>
          <t>Onboarding</t>
        </is>
      </c>
      <c r="G101" s="20" t="inlineStr">
        <is>
          <t>Go-Live Support</t>
        </is>
      </c>
      <c r="H101" s="21" t="n">
        <v>44947</v>
      </c>
      <c r="I101" s="40">
        <f>IF(COUNTIFS('Survey Results'!B$5:B$52,B101,'Survey Results'!D$5:D$52,D101)=0,2,ROUND(SUMIFS('Survey Results'!L$5:L$52,'Survey Results'!B$5:B$52,B101,'Survey Results'!D$5:D$52,D101)/COUNTIFS('Survey Results'!B$5:B$52,B101,'Survey Results'!D$5:D$52,D101),0))</f>
        <v/>
      </c>
      <c r="J101" s="34" t="n">
        <v>8</v>
      </c>
      <c r="K101" s="20" t="inlineStr">
        <is>
          <t>Incomplete</t>
        </is>
      </c>
      <c r="L101" s="20" t="inlineStr">
        <is>
          <t>Onboarding engagement with RapidDeploy Inc</t>
        </is>
      </c>
      <c r="M101" s="9">
        <f>IF(COUNTIFS('Survey Results'!B$5:B$52,B101,'Survey Results'!D$5:D$52,D101)&gt;0,"Survey-derived","Internal Estimate")</f>
        <v/>
      </c>
      <c r="N101" s="43" t="inlineStr">
        <is>
          <t>—</t>
        </is>
      </c>
      <c r="O101" s="20" t="inlineStr">
        <is>
          <t>Nowhere</t>
        </is>
      </c>
    </row>
    <row r="102" ht="23.25" customHeight="1">
      <c r="A102" s="24" t="inlineStr">
        <is>
          <t>ENG-098</t>
        </is>
      </c>
      <c r="B102" s="24" t="inlineStr">
        <is>
          <t>C012</t>
        </is>
      </c>
      <c r="C102" s="24" t="inlineStr">
        <is>
          <t>Keystone Bank</t>
        </is>
      </c>
      <c r="D102" s="24" t="inlineStr">
        <is>
          <t>P008</t>
        </is>
      </c>
      <c r="E102" s="24" t="inlineStr">
        <is>
          <t>RapidDeploy Inc</t>
        </is>
      </c>
      <c r="F102" s="24" t="inlineStr">
        <is>
          <t>Adoption</t>
        </is>
      </c>
      <c r="G102" s="24" t="inlineStr">
        <is>
          <t>Feature Workshop</t>
        </is>
      </c>
      <c r="H102" s="25" t="n">
        <v>44995</v>
      </c>
      <c r="I102" s="42">
        <f>'Survey Results'!L50</f>
        <v/>
      </c>
      <c r="J102" s="35" t="n">
        <v>16</v>
      </c>
      <c r="K102" s="24" t="inlineStr">
        <is>
          <t>Below expectations</t>
        </is>
      </c>
      <c r="L102" s="24" t="inlineStr">
        <is>
          <t>Minimal partner involvement post-implementation</t>
        </is>
      </c>
      <c r="M102" s="41" t="inlineStr">
        <is>
          <t>Survey-validated</t>
        </is>
      </c>
      <c r="N102" s="9">
        <f>'Survey Results'!A50</f>
        <v/>
      </c>
      <c r="O102" s="24" t="inlineStr">
        <is>
          <t>Nowhere</t>
        </is>
      </c>
    </row>
    <row r="103" ht="23.25" customHeight="1">
      <c r="A103" s="20" t="inlineStr">
        <is>
          <t>ENG-099</t>
        </is>
      </c>
      <c r="B103" s="20" t="inlineStr">
        <is>
          <t>C012</t>
        </is>
      </c>
      <c r="C103" s="20" t="inlineStr">
        <is>
          <t>Keystone Bank</t>
        </is>
      </c>
      <c r="D103" s="20" t="inlineStr">
        <is>
          <t>P010</t>
        </is>
      </c>
      <c r="E103" s="20" t="inlineStr">
        <is>
          <t>SkillForge Academy</t>
        </is>
      </c>
      <c r="F103" s="20" t="inlineStr">
        <is>
          <t>Adoption</t>
        </is>
      </c>
      <c r="G103" s="20" t="inlineStr">
        <is>
          <t>Process Optimization</t>
        </is>
      </c>
      <c r="H103" s="21" t="n">
        <v>45031</v>
      </c>
      <c r="I103" s="40">
        <f>IF(COUNTIFS('Survey Results'!B$5:B$52,B103,'Survey Results'!D$5:D$52,D103)=0,2,ROUND(SUMIFS('Survey Results'!L$5:L$52,'Survey Results'!B$5:B$52,B103,'Survey Results'!D$5:D$52,D103)/COUNTIFS('Survey Results'!B$5:B$52,B103,'Survey Results'!D$5:D$52,D103),0))</f>
        <v/>
      </c>
      <c r="J103" s="34" t="n">
        <v>16</v>
      </c>
      <c r="K103" s="20" t="inlineStr">
        <is>
          <t>Below expectations</t>
        </is>
      </c>
      <c r="L103" s="20" t="inlineStr">
        <is>
          <t>Minimal partner involvement post-implementation</t>
        </is>
      </c>
      <c r="M103" s="9">
        <f>IF(COUNTIFS('Survey Results'!B$5:B$52,B103,'Survey Results'!D$5:D$52,D103)&gt;0,"Survey-derived","Internal Estimate")</f>
        <v/>
      </c>
      <c r="N103" s="43" t="inlineStr">
        <is>
          <t>—</t>
        </is>
      </c>
      <c r="O103" s="20" t="inlineStr">
        <is>
          <t>Nowhere</t>
        </is>
      </c>
    </row>
    <row r="104" ht="23.25" customHeight="1">
      <c r="A104" s="24" t="inlineStr">
        <is>
          <t>ENG-100</t>
        </is>
      </c>
      <c r="B104" s="24" t="inlineStr">
        <is>
          <t>C012</t>
        </is>
      </c>
      <c r="C104" s="24" t="inlineStr">
        <is>
          <t>Keystone Bank</t>
        </is>
      </c>
      <c r="D104" s="24" t="inlineStr">
        <is>
          <t>P010</t>
        </is>
      </c>
      <c r="E104" s="24" t="inlineStr">
        <is>
          <t>SkillForge Academy</t>
        </is>
      </c>
      <c r="F104" s="24" t="inlineStr">
        <is>
          <t>Retention</t>
        </is>
      </c>
      <c r="G104" s="24" t="inlineStr">
        <is>
          <t>Health Check</t>
        </is>
      </c>
      <c r="H104" s="25" t="n">
        <v>45091</v>
      </c>
      <c r="I104" s="42">
        <f>'Survey Results'!L51</f>
        <v/>
      </c>
      <c r="J104" s="35" t="n">
        <v>8</v>
      </c>
      <c r="K104" s="24" t="inlineStr">
        <is>
          <t>Value demonstrated</t>
        </is>
      </c>
      <c r="L104" s="24" t="inlineStr">
        <is>
          <t>Retention engagement with SkillForge Academy</t>
        </is>
      </c>
      <c r="M104" s="41" t="inlineStr">
        <is>
          <t>Survey-validated</t>
        </is>
      </c>
      <c r="N104" s="9">
        <f>'Survey Results'!A51</f>
        <v/>
      </c>
      <c r="O104" s="24" t="inlineStr">
        <is>
          <t>Nowhere</t>
        </is>
      </c>
    </row>
    <row r="105" ht="23.25" customHeight="1">
      <c r="A105" s="20" t="inlineStr">
        <is>
          <t>ENG-101</t>
        </is>
      </c>
      <c r="B105" s="20" t="inlineStr">
        <is>
          <t>C012</t>
        </is>
      </c>
      <c r="C105" s="20" t="inlineStr">
        <is>
          <t>Keystone Bank</t>
        </is>
      </c>
      <c r="D105" s="20" t="inlineStr">
        <is>
          <t>P007</t>
        </is>
      </c>
      <c r="E105" s="20" t="inlineStr">
        <is>
          <t>PrimeAdvisory Group</t>
        </is>
      </c>
      <c r="F105" s="20" t="inlineStr">
        <is>
          <t>Acquisition</t>
        </is>
      </c>
      <c r="G105" s="20" t="inlineStr">
        <is>
          <t>Follow-up Call</t>
        </is>
      </c>
      <c r="H105" s="21" t="n">
        <v>45117</v>
      </c>
      <c r="I105" s="40">
        <f>IF(COUNTIFS('Survey Results'!B$5:B$52,B105,'Survey Results'!D$5:D$52,D105)=0,3,ROUND(SUMIFS('Survey Results'!L$5:L$52,'Survey Results'!B$5:B$52,B105,'Survey Results'!D$5:D$52,D105)/COUNTIFS('Survey Results'!B$5:B$52,B105,'Survey Results'!D$5:D$52,D105),0))</f>
        <v/>
      </c>
      <c r="J105" s="34" t="n">
        <v>8</v>
      </c>
      <c r="K105" s="20" t="inlineStr">
        <is>
          <t>No follow-through</t>
        </is>
      </c>
      <c r="L105" s="20" t="inlineStr">
        <is>
          <t>Partner disengaged after sale</t>
        </is>
      </c>
      <c r="M105" s="9">
        <f>IF(COUNTIFS('Survey Results'!B$5:B$52,B105,'Survey Results'!D$5:D$52,D105)&gt;0,"Survey-derived","Internal Estimate")</f>
        <v/>
      </c>
      <c r="N105" s="43" t="inlineStr">
        <is>
          <t>—</t>
        </is>
      </c>
      <c r="O105" s="20" t="inlineStr">
        <is>
          <t>CRM</t>
        </is>
      </c>
    </row>
    <row r="106" ht="23.25" customHeight="1">
      <c r="A106" s="24" t="inlineStr">
        <is>
          <t>ENG-102</t>
        </is>
      </c>
      <c r="B106" s="24" t="inlineStr">
        <is>
          <t>C012</t>
        </is>
      </c>
      <c r="C106" s="24" t="inlineStr">
        <is>
          <t>Keystone Bank</t>
        </is>
      </c>
      <c r="D106" s="24" t="inlineStr">
        <is>
          <t>P007</t>
        </is>
      </c>
      <c r="E106" s="24" t="inlineStr">
        <is>
          <t>PrimeAdvisory Group</t>
        </is>
      </c>
      <c r="F106" s="24" t="inlineStr">
        <is>
          <t>Retention</t>
        </is>
      </c>
      <c r="G106" s="24" t="inlineStr">
        <is>
          <t>Health Check</t>
        </is>
      </c>
      <c r="H106" s="25" t="n">
        <v>45180</v>
      </c>
      <c r="I106" s="42">
        <f>'Survey Results'!L49</f>
        <v/>
      </c>
      <c r="J106" s="35" t="n">
        <v>8</v>
      </c>
      <c r="K106" s="24" t="inlineStr">
        <is>
          <t>Below expectations</t>
        </is>
      </c>
      <c r="L106" s="24" t="inlineStr">
        <is>
          <t>No advocacy activity from this customer</t>
        </is>
      </c>
      <c r="M106" s="41" t="inlineStr">
        <is>
          <t>Survey-validated</t>
        </is>
      </c>
      <c r="N106" s="9">
        <f>'Survey Results'!A49</f>
        <v/>
      </c>
      <c r="O106" s="24" t="inlineStr">
        <is>
          <t>Nowhere</t>
        </is>
      </c>
    </row>
    <row r="108" ht="15" customHeight="1">
      <c r="A108" s="91" t="inlineStr">
        <is>
          <t>Engagement Summary by Lifecycle Stage</t>
        </is>
      </c>
    </row>
    <row r="109" ht="39" customHeight="1">
      <c r="A109" s="5" t="inlineStr">
        <is>
          <t>Stage</t>
        </is>
      </c>
      <c r="B109" s="5" t="inlineStr">
        <is>
          <t>Total Engagements</t>
        </is>
      </c>
      <c r="C109" s="5" t="inlineStr">
        <is>
          <t>Avg Quality</t>
        </is>
      </c>
      <c r="D109" s="5" t="inlineStr">
        <is>
          <t>Total Hours</t>
        </is>
      </c>
      <c r="E109" s="5" t="inlineStr">
        <is>
          <t>% of All Engagements</t>
        </is>
      </c>
    </row>
    <row r="110" ht="15" customHeight="1">
      <c r="A110" s="98" t="inlineStr">
        <is>
          <t>Acquisition</t>
        </is>
      </c>
      <c r="B110" s="9">
        <f>COUNTIF(F5:F106,A110)</f>
        <v/>
      </c>
      <c r="C110" s="44">
        <f>IFERROR(AVERAGEIF(F5:F106,A110,I5:I106),0)</f>
        <v/>
      </c>
      <c r="D110" s="9">
        <f>SUMIF(F5:F106,A110,J5:J106)</f>
        <v/>
      </c>
      <c r="E110" s="10">
        <f>IFERROR(B110/SUM(B110:B115),0)</f>
        <v/>
      </c>
    </row>
    <row r="111" ht="15" customHeight="1">
      <c r="A111" s="98" t="inlineStr">
        <is>
          <t>Onboarding</t>
        </is>
      </c>
      <c r="B111" s="9">
        <f>COUNTIF(F5:F106,A111)</f>
        <v/>
      </c>
      <c r="C111" s="44">
        <f>IFERROR(AVERAGEIF(F5:F106,A111,I5:I106),0)</f>
        <v/>
      </c>
      <c r="D111" s="9">
        <f>SUMIF(F5:F106,A111,J5:J106)</f>
        <v/>
      </c>
      <c r="E111" s="10">
        <f>IFERROR(B111/SUM(B110:B115),0)</f>
        <v/>
      </c>
    </row>
    <row r="112" ht="15" customHeight="1">
      <c r="A112" s="98" t="inlineStr">
        <is>
          <t>Adoption</t>
        </is>
      </c>
      <c r="B112" s="9">
        <f>COUNTIF(F5:F106,A112)</f>
        <v/>
      </c>
      <c r="C112" s="44">
        <f>IFERROR(AVERAGEIF(F5:F106,A112,I5:I106),0)</f>
        <v/>
      </c>
      <c r="D112" s="9">
        <f>SUMIF(F5:F106,A112,J5:J106)</f>
        <v/>
      </c>
      <c r="E112" s="10">
        <f>IFERROR(B112/SUM(B110:B115),0)</f>
        <v/>
      </c>
    </row>
    <row r="113" ht="15" customHeight="1">
      <c r="A113" s="98" t="inlineStr">
        <is>
          <t>Retention</t>
        </is>
      </c>
      <c r="B113" s="9">
        <f>COUNTIF(F5:F106,A113)</f>
        <v/>
      </c>
      <c r="C113" s="44">
        <f>IFERROR(AVERAGEIF(F5:F106,A113,I5:I106),0)</f>
        <v/>
      </c>
      <c r="D113" s="9">
        <f>SUMIF(F5:F106,A113,J5:J106)</f>
        <v/>
      </c>
      <c r="E113" s="10">
        <f>IFERROR(B113/SUM(B110:B115),0)</f>
        <v/>
      </c>
    </row>
    <row r="114" ht="15" customHeight="1">
      <c r="A114" s="98" t="inlineStr">
        <is>
          <t>Expansion</t>
        </is>
      </c>
      <c r="B114" s="9">
        <f>COUNTIF(F5:F106,A114)</f>
        <v/>
      </c>
      <c r="C114" s="44">
        <f>IFERROR(AVERAGEIF(F5:F106,A114,I5:I106),0)</f>
        <v/>
      </c>
      <c r="D114" s="9">
        <f>SUMIF(F5:F106,A114,J5:J106)</f>
        <v/>
      </c>
      <c r="E114" s="10">
        <f>IFERROR(B114/SUM(B110:B115),0)</f>
        <v/>
      </c>
    </row>
    <row r="115" ht="15" customHeight="1">
      <c r="A115" s="98" t="inlineStr">
        <is>
          <t>Advocacy</t>
        </is>
      </c>
      <c r="B115" s="9">
        <f>COUNTIF(F5:F106,A115)</f>
        <v/>
      </c>
      <c r="C115" s="44">
        <f>IFERROR(AVERAGEIF(F5:F106,A115,I5:I106),0)</f>
        <v/>
      </c>
      <c r="D115" s="9">
        <f>SUMIF(F5:F106,A115,J5:J106)</f>
        <v/>
      </c>
      <c r="E115" s="10">
        <f>IFERROR(B115/SUM(B110:B115),0)</f>
        <v/>
      </c>
    </row>
    <row r="117" ht="15" customHeight="1">
      <c r="A117" s="97" t="inlineStr">
        <is>
          <t>Quality Score Source Breakdown</t>
        </is>
      </c>
    </row>
    <row r="118" ht="15" customHeight="1">
      <c r="A118" s="98" t="inlineStr">
        <is>
          <t>Survey-validated (directly linked)</t>
        </is>
      </c>
      <c r="B118" s="45">
        <f>COUNTIF(M5:M106,"Survey-validated")</f>
        <v/>
      </c>
    </row>
    <row r="119" ht="15" customHeight="1">
      <c r="A119" s="98" t="inlineStr">
        <is>
          <t>Survey-derived (avg for cust+partner)</t>
        </is>
      </c>
      <c r="B119" s="45">
        <f>COUNTIF(M5:M106,"Survey-derived")</f>
        <v/>
      </c>
    </row>
    <row r="120" ht="15" customHeight="1">
      <c r="A120" s="98" t="inlineStr">
        <is>
          <t>Internal Estimate (no survey data)</t>
        </is>
      </c>
      <c r="B120" s="45">
        <f>COUNTIF(M5:M106,"Internal Estimate")</f>
        <v/>
      </c>
    </row>
    <row r="121" ht="15" customHeight="1">
      <c r="A121" s="98" t="inlineStr">
        <is>
          <t>% Survey-grounded</t>
        </is>
      </c>
      <c r="B121" s="46">
        <f>(B118+B119)/(B118+B119+B120)</f>
        <v/>
      </c>
    </row>
  </sheetData>
  <mergeCells count="4">
    <mergeCell ref="A1:L1"/>
    <mergeCell ref="A117:D117"/>
    <mergeCell ref="A2:N2"/>
    <mergeCell ref="A108:E108"/>
  </mergeCells>
  <dataValidations count="1">
    <dataValidation sqref="O5:O200" showDropDown="0" showInputMessage="0" showErrorMessage="0" allowBlank="1" type="list">
      <formula1>"CRM,PRM,CS platform,PSA,Support,Slack Connect,Nowhere"</formula1>
    </dataValidation>
  </dataValidations>
  <pageMargins left="0.75" right="0.75" top="1" bottom="1" header="0.511811023622047" footer="0.511811023622047"/>
  <pageSetup orientation="portrait" paperSize="9" horizontalDpi="300" verticalDpi="300"/>
</worksheet>
</file>

<file path=xl/worksheets/sheet7.xml><?xml version="1.0" encoding="utf-8"?>
<worksheet xmlns="http://schemas.openxmlformats.org/spreadsheetml/2006/main">
  <sheetPr>
    <tabColor rgb="FF3498DB"/>
    <outlinePr summaryBelow="1" summaryRight="1"/>
    <pageSetUpPr/>
  </sheetPr>
  <dimension ref="A1:S82"/>
  <sheetViews>
    <sheetView topLeftCell="A15" zoomScaleNormal="100" workbookViewId="0">
      <selection activeCell="A1" sqref="A1:R1"/>
    </sheetView>
  </sheetViews>
  <sheetFormatPr baseColWidth="8" defaultColWidth="8.7109375" defaultRowHeight="15"/>
  <cols>
    <col width="10" customWidth="1" min="1" max="1"/>
    <col width="12" customWidth="1" min="2" max="2"/>
    <col width="22" customWidth="1" min="3" max="3"/>
    <col width="12" customWidth="1" min="4" max="4"/>
    <col width="22" customWidth="1" min="5" max="6"/>
    <col width="18" customWidth="1" min="7" max="7"/>
    <col width="16" customWidth="1" min="8" max="8"/>
    <col width="12" customWidth="1" min="9" max="9"/>
    <col width="16" customWidth="1" min="10" max="10"/>
    <col width="14" customWidth="1" min="11" max="11"/>
    <col width="18" customWidth="1" min="12" max="12"/>
    <col width="20" customWidth="1" min="13" max="14"/>
    <col width="16" customWidth="1" min="15" max="15"/>
    <col width="20" customWidth="1" min="16" max="16"/>
    <col width="18" customWidth="1" min="17" max="17"/>
    <col width="16" customWidth="1" min="18" max="18"/>
    <col width="42" customWidth="1" min="19" max="19"/>
  </cols>
  <sheetData>
    <row r="1" ht="17.25" customHeight="1">
      <c r="A1" s="93" t="inlineStr">
        <is>
          <t>Customer &amp; Partner Satisfaction Surveys</t>
        </is>
      </c>
    </row>
    <row r="2" ht="15" customHeight="1">
      <c r="A2" s="94" t="inlineStr">
        <is>
          <t>Customer satisfaction surveys linked to specific partners and engagements. The Partner Satisfaction score (col L) feeds back into the Engagement Log's Delivery Assurance Score, ensuring engagement quality ratings are grounded in the customer's own assessment.</t>
        </is>
      </c>
    </row>
    <row r="4" ht="39" customHeight="1">
      <c r="A4" s="5" t="inlineStr">
        <is>
          <t>Survey ID</t>
        </is>
      </c>
      <c r="B4" s="5" t="inlineStr">
        <is>
          <t>Customer ID</t>
        </is>
      </c>
      <c r="C4" s="5" t="inlineStr">
        <is>
          <t>Customer Name</t>
        </is>
      </c>
      <c r="D4" s="5" t="inlineStr">
        <is>
          <t>Partner ID</t>
        </is>
      </c>
      <c r="E4" s="5" t="inlineStr">
        <is>
          <t>Partner Name</t>
        </is>
      </c>
      <c r="F4" s="5" t="inlineStr">
        <is>
          <t>Partner Type</t>
        </is>
      </c>
      <c r="G4" s="5" t="inlineStr">
        <is>
          <t>Linked Engagement</t>
        </is>
      </c>
      <c r="H4" s="5" t="inlineStr">
        <is>
          <t>Engagement Stage</t>
        </is>
      </c>
      <c r="I4" s="5" t="inlineStr">
        <is>
          <t>Survey Date</t>
        </is>
      </c>
      <c r="J4" s="5" t="inlineStr">
        <is>
          <t>Respondent Role</t>
        </is>
      </c>
      <c r="K4" s="5" t="inlineStr">
        <is>
          <t>Overall NPS (0-10)</t>
        </is>
      </c>
      <c r="L4" s="5" t="inlineStr">
        <is>
          <t>Partner Satisfaction (0-10)</t>
        </is>
      </c>
      <c r="M4" s="5" t="inlineStr">
        <is>
          <t>Implementation Quality (0-10)</t>
        </is>
      </c>
      <c r="N4" s="5" t="inlineStr">
        <is>
          <t>Training Effectiveness (0-10)</t>
        </is>
      </c>
      <c r="O4" s="5" t="inlineStr">
        <is>
          <t>Support Quality (0-10)</t>
        </is>
      </c>
      <c r="P4" s="5" t="inlineStr">
        <is>
          <t>Integration Completeness (0-10)</t>
        </is>
      </c>
      <c r="Q4" s="5" t="inlineStr">
        <is>
          <t>Compliance Coverage (0-10)</t>
        </is>
      </c>
      <c r="R4" s="5" t="inlineStr">
        <is>
          <t>Would Recommend? (Y/N)</t>
        </is>
      </c>
      <c r="S4" s="5" t="inlineStr">
        <is>
          <t>Verbatim Feedback</t>
        </is>
      </c>
    </row>
    <row r="5" ht="15" customHeight="1">
      <c r="A5" s="20" t="inlineStr">
        <is>
          <t>SRV-001</t>
        </is>
      </c>
      <c r="B5" s="20" t="inlineStr">
        <is>
          <t>C001</t>
        </is>
      </c>
      <c r="C5" s="20" t="inlineStr">
        <is>
          <t>Meridian Healthcare</t>
        </is>
      </c>
      <c r="D5" s="20" t="inlineStr">
        <is>
          <t>P001</t>
        </is>
      </c>
      <c r="E5" s="20" t="inlineStr">
        <is>
          <t>Apex Consulting</t>
        </is>
      </c>
      <c r="F5" s="20" t="inlineStr">
        <is>
          <t>Advisory / Consulting</t>
        </is>
      </c>
      <c r="G5" s="20" t="inlineStr">
        <is>
          <t>ENG-007</t>
        </is>
      </c>
      <c r="H5" s="20" t="inlineStr">
        <is>
          <t>Advocacy</t>
        </is>
      </c>
      <c r="I5" s="21" t="n">
        <v>44863</v>
      </c>
      <c r="J5" s="20" t="inlineStr">
        <is>
          <t>VP Operations</t>
        </is>
      </c>
      <c r="K5" s="34" t="n">
        <v>10</v>
      </c>
      <c r="L5" s="34" t="n">
        <v>9</v>
      </c>
      <c r="M5" s="34" t="n">
        <v>8</v>
      </c>
      <c r="N5" s="34" t="n">
        <v>7</v>
      </c>
      <c r="O5" s="34" t="n">
        <v>7</v>
      </c>
      <c r="P5" s="34" t="n">
        <v>10</v>
      </c>
      <c r="Q5" s="34" t="n">
        <v>8</v>
      </c>
      <c r="R5" s="20" t="inlineStr">
        <is>
          <t>Y</t>
        </is>
      </c>
      <c r="S5" s="20" t="inlineStr">
        <is>
          <t>Partner team was instrumental in our success</t>
        </is>
      </c>
    </row>
    <row r="6" ht="15" customHeight="1">
      <c r="A6" s="24" t="inlineStr">
        <is>
          <t>SRV-002</t>
        </is>
      </c>
      <c r="B6" s="24" t="inlineStr">
        <is>
          <t>C001</t>
        </is>
      </c>
      <c r="C6" s="24" t="inlineStr">
        <is>
          <t>Meridian Healthcare</t>
        </is>
      </c>
      <c r="D6" s="24" t="inlineStr">
        <is>
          <t>P003</t>
        </is>
      </c>
      <c r="E6" s="24" t="inlineStr">
        <is>
          <t>DataForce Services</t>
        </is>
      </c>
      <c r="F6" s="24" t="inlineStr">
        <is>
          <t>Delivery</t>
        </is>
      </c>
      <c r="G6" s="24" t="inlineStr">
        <is>
          <t>ENG-003</t>
        </is>
      </c>
      <c r="H6" s="24" t="inlineStr">
        <is>
          <t>Adoption</t>
        </is>
      </c>
      <c r="I6" s="25" t="n">
        <v>44694</v>
      </c>
      <c r="J6" s="24" t="inlineStr">
        <is>
          <t>CFO</t>
        </is>
      </c>
      <c r="K6" s="35" t="n">
        <v>8</v>
      </c>
      <c r="L6" s="35" t="n">
        <v>8</v>
      </c>
      <c r="M6" s="35" t="n">
        <v>9</v>
      </c>
      <c r="N6" s="35" t="n">
        <v>7</v>
      </c>
      <c r="O6" s="35" t="n">
        <v>9</v>
      </c>
      <c r="P6" s="35" t="n">
        <v>10</v>
      </c>
      <c r="Q6" s="35" t="n">
        <v>8</v>
      </c>
      <c r="R6" s="24" t="inlineStr">
        <is>
          <t>Y</t>
        </is>
      </c>
      <c r="S6" s="24" t="inlineStr">
        <is>
          <t>Partner team was instrumental in our success</t>
        </is>
      </c>
    </row>
    <row r="7" ht="15" customHeight="1">
      <c r="A7" s="20" t="inlineStr">
        <is>
          <t>SRV-003</t>
        </is>
      </c>
      <c r="B7" s="20" t="inlineStr">
        <is>
          <t>C001</t>
        </is>
      </c>
      <c r="C7" s="20" t="inlineStr">
        <is>
          <t>Meridian Healthcare</t>
        </is>
      </c>
      <c r="D7" s="20" t="inlineStr">
        <is>
          <t>P009</t>
        </is>
      </c>
      <c r="E7" s="20" t="inlineStr">
        <is>
          <t>Northstar Advisory</t>
        </is>
      </c>
      <c r="F7" s="20" t="inlineStr">
        <is>
          <t>Embedded Advisor</t>
        </is>
      </c>
      <c r="G7" s="20" t="inlineStr">
        <is>
          <t>ENG-009</t>
        </is>
      </c>
      <c r="H7" s="20" t="inlineStr">
        <is>
          <t>Retention</t>
        </is>
      </c>
      <c r="I7" s="21" t="n">
        <v>44893</v>
      </c>
      <c r="J7" s="20" t="inlineStr">
        <is>
          <t>COO</t>
        </is>
      </c>
      <c r="K7" s="34" t="n">
        <v>9</v>
      </c>
      <c r="L7" s="34" t="n">
        <v>10</v>
      </c>
      <c r="M7" s="34" t="n">
        <v>9</v>
      </c>
      <c r="N7" s="34" t="n">
        <v>7</v>
      </c>
      <c r="O7" s="34" t="n">
        <v>8</v>
      </c>
      <c r="P7" s="34" t="n">
        <v>10</v>
      </c>
      <c r="Q7" s="34" t="n">
        <v>9</v>
      </c>
      <c r="R7" s="20" t="inlineStr">
        <is>
          <t>Y</t>
        </is>
      </c>
      <c r="S7" s="20" t="inlineStr">
        <is>
          <t>Ecosystem covers nearly all our needs</t>
        </is>
      </c>
    </row>
    <row r="8" ht="23.25" customHeight="1">
      <c r="A8" s="24" t="inlineStr">
        <is>
          <t>SRV-004</t>
        </is>
      </c>
      <c r="B8" s="24" t="inlineStr">
        <is>
          <t>C001</t>
        </is>
      </c>
      <c r="C8" s="24" t="inlineStr">
        <is>
          <t>Meridian Healthcare</t>
        </is>
      </c>
      <c r="D8" s="24" t="inlineStr">
        <is>
          <t>P001</t>
        </is>
      </c>
      <c r="E8" s="24" t="inlineStr">
        <is>
          <t>Apex Consulting</t>
        </is>
      </c>
      <c r="F8" s="24" t="inlineStr">
        <is>
          <t>Advisory / Consulting</t>
        </is>
      </c>
      <c r="G8" s="24" t="inlineStr">
        <is>
          <t>ENG-001</t>
        </is>
      </c>
      <c r="H8" s="24" t="inlineStr">
        <is>
          <t>Acquisition</t>
        </is>
      </c>
      <c r="I8" s="25" t="n">
        <v>44897</v>
      </c>
      <c r="J8" s="24" t="inlineStr">
        <is>
          <t>COO</t>
        </is>
      </c>
      <c r="K8" s="35" t="n">
        <v>8</v>
      </c>
      <c r="L8" s="35" t="n">
        <v>9</v>
      </c>
      <c r="M8" s="35" t="n">
        <v>8</v>
      </c>
      <c r="N8" s="35" t="n">
        <v>7</v>
      </c>
      <c r="O8" s="35" t="n">
        <v>8</v>
      </c>
      <c r="P8" s="35" t="n">
        <v>8</v>
      </c>
      <c r="Q8" s="35" t="n">
        <v>9</v>
      </c>
      <c r="R8" s="24" t="inlineStr">
        <is>
          <t>Y</t>
        </is>
      </c>
      <c r="S8" s="24" t="inlineStr">
        <is>
          <t>Annual follow-up: Ecosystem covers nearly all our needs</t>
        </is>
      </c>
    </row>
    <row r="9" ht="23.25" customHeight="1">
      <c r="A9" s="20" t="inlineStr">
        <is>
          <t>SRV-005</t>
        </is>
      </c>
      <c r="B9" s="20" t="inlineStr">
        <is>
          <t>C002</t>
        </is>
      </c>
      <c r="C9" s="20" t="inlineStr">
        <is>
          <t>Atlas Financial</t>
        </is>
      </c>
      <c r="D9" s="20" t="inlineStr">
        <is>
          <t>P011</t>
        </is>
      </c>
      <c r="E9" s="20" t="inlineStr">
        <is>
          <t>TrueNorth Advisory</t>
        </is>
      </c>
      <c r="F9" s="20" t="inlineStr">
        <is>
          <t>Advisory / Consulting</t>
        </is>
      </c>
      <c r="G9" s="20" t="inlineStr">
        <is>
          <t>ENG-017</t>
        </is>
      </c>
      <c r="H9" s="20" t="inlineStr">
        <is>
          <t>Advocacy</t>
        </is>
      </c>
      <c r="I9" s="21" t="n">
        <v>44904</v>
      </c>
      <c r="J9" s="20" t="inlineStr">
        <is>
          <t>Head of Analytics</t>
        </is>
      </c>
      <c r="K9" s="34" t="n">
        <v>8</v>
      </c>
      <c r="L9" s="34" t="n">
        <v>6</v>
      </c>
      <c r="M9" s="34" t="n">
        <v>8</v>
      </c>
      <c r="N9" s="34" t="n">
        <v>6</v>
      </c>
      <c r="O9" s="34" t="n">
        <v>6</v>
      </c>
      <c r="P9" s="34" t="n">
        <v>4</v>
      </c>
      <c r="Q9" s="34" t="n">
        <v>6</v>
      </c>
      <c r="R9" s="20" t="inlineStr">
        <is>
          <t>Y</t>
        </is>
      </c>
      <c r="S9" s="20" t="inlineStr">
        <is>
          <t>Partner was helpful but we need more integration support</t>
        </is>
      </c>
    </row>
    <row r="10" ht="15" customHeight="1">
      <c r="A10" s="24" t="inlineStr">
        <is>
          <t>SRV-006</t>
        </is>
      </c>
      <c r="B10" s="24" t="inlineStr">
        <is>
          <t>C002</t>
        </is>
      </c>
      <c r="C10" s="24" t="inlineStr">
        <is>
          <t>Atlas Financial</t>
        </is>
      </c>
      <c r="D10" s="24" t="inlineStr">
        <is>
          <t>P003</t>
        </is>
      </c>
      <c r="E10" s="24" t="inlineStr">
        <is>
          <t>DataForce Services</t>
        </is>
      </c>
      <c r="F10" s="24" t="inlineStr">
        <is>
          <t>Delivery</t>
        </is>
      </c>
      <c r="G10" s="24" t="inlineStr">
        <is>
          <t>ENG-013</t>
        </is>
      </c>
      <c r="H10" s="24" t="inlineStr">
        <is>
          <t>Adoption</t>
        </is>
      </c>
      <c r="I10" s="25" t="n">
        <v>44728</v>
      </c>
      <c r="J10" s="24" t="inlineStr">
        <is>
          <t>CFO</t>
        </is>
      </c>
      <c r="K10" s="35" t="n">
        <v>8</v>
      </c>
      <c r="L10" s="35" t="n">
        <v>5</v>
      </c>
      <c r="M10" s="35" t="n">
        <v>7</v>
      </c>
      <c r="N10" s="35" t="n">
        <v>8</v>
      </c>
      <c r="O10" s="35" t="n">
        <v>5</v>
      </c>
      <c r="P10" s="35" t="n">
        <v>5</v>
      </c>
      <c r="Q10" s="35" t="n">
        <v>4</v>
      </c>
      <c r="R10" s="24" t="inlineStr">
        <is>
          <t>Y</t>
        </is>
      </c>
      <c r="S10" s="24" t="inlineStr">
        <is>
          <t>Good initial work but follow-through could improve</t>
        </is>
      </c>
    </row>
    <row r="11" ht="15" customHeight="1">
      <c r="A11" s="20" t="inlineStr">
        <is>
          <t>SRV-007</t>
        </is>
      </c>
      <c r="B11" s="20" t="inlineStr">
        <is>
          <t>C002</t>
        </is>
      </c>
      <c r="C11" s="20" t="inlineStr">
        <is>
          <t>Atlas Financial</t>
        </is>
      </c>
      <c r="D11" s="20" t="inlineStr">
        <is>
          <t>P005</t>
        </is>
      </c>
      <c r="E11" s="20" t="inlineStr">
        <is>
          <t>ManagedOps Pro</t>
        </is>
      </c>
      <c r="F11" s="20" t="inlineStr">
        <is>
          <t>Managed Services</t>
        </is>
      </c>
      <c r="G11" s="20" t="inlineStr">
        <is>
          <t>ENG-018</t>
        </is>
      </c>
      <c r="H11" s="20" t="inlineStr">
        <is>
          <t>Adoption</t>
        </is>
      </c>
      <c r="I11" s="21" t="n">
        <v>44987</v>
      </c>
      <c r="J11" s="20" t="inlineStr">
        <is>
          <t>CFO</t>
        </is>
      </c>
      <c r="K11" s="34" t="n">
        <v>9</v>
      </c>
      <c r="L11" s="34" t="n">
        <v>9</v>
      </c>
      <c r="M11" s="34" t="n">
        <v>10</v>
      </c>
      <c r="N11" s="34" t="n">
        <v>8</v>
      </c>
      <c r="O11" s="34" t="n">
        <v>8</v>
      </c>
      <c r="P11" s="34" t="n">
        <v>9</v>
      </c>
      <c r="Q11" s="34" t="n">
        <v>9</v>
      </c>
      <c r="R11" s="20" t="inlineStr">
        <is>
          <t>Y</t>
        </is>
      </c>
      <c r="S11" s="20" t="inlineStr">
        <is>
          <t>Excellent ongoing advisory relationship</t>
        </is>
      </c>
    </row>
    <row r="12" ht="23.25" customHeight="1">
      <c r="A12" s="24" t="inlineStr">
        <is>
          <t>SRV-008</t>
        </is>
      </c>
      <c r="B12" s="24" t="inlineStr">
        <is>
          <t>C002</t>
        </is>
      </c>
      <c r="C12" s="24" t="inlineStr">
        <is>
          <t>Atlas Financial</t>
        </is>
      </c>
      <c r="D12" s="24" t="inlineStr">
        <is>
          <t>P011</t>
        </is>
      </c>
      <c r="E12" s="24" t="inlineStr">
        <is>
          <t>TrueNorth Advisory</t>
        </is>
      </c>
      <c r="F12" s="24" t="inlineStr">
        <is>
          <t>Advisory / Consulting</t>
        </is>
      </c>
      <c r="G12" s="24" t="inlineStr">
        <is>
          <t>ENG-011</t>
        </is>
      </c>
      <c r="H12" s="24" t="inlineStr">
        <is>
          <t>Acquisition</t>
        </is>
      </c>
      <c r="I12" s="25" t="n">
        <v>44989</v>
      </c>
      <c r="J12" s="24" t="inlineStr">
        <is>
          <t>CFO</t>
        </is>
      </c>
      <c r="K12" s="35" t="n">
        <v>8</v>
      </c>
      <c r="L12" s="35" t="n">
        <v>8</v>
      </c>
      <c r="M12" s="35" t="n">
        <v>8</v>
      </c>
      <c r="N12" s="35" t="n">
        <v>6</v>
      </c>
      <c r="O12" s="35" t="n">
        <v>7</v>
      </c>
      <c r="P12" s="35" t="n">
        <v>7</v>
      </c>
      <c r="Q12" s="35" t="n">
        <v>5</v>
      </c>
      <c r="R12" s="24" t="inlineStr">
        <is>
          <t>Y</t>
        </is>
      </c>
      <c r="S12" s="24" t="inlineStr">
        <is>
          <t>Annual follow-up: Some capability gaps we had to fill ourselves</t>
        </is>
      </c>
    </row>
    <row r="13" ht="15" customHeight="1">
      <c r="A13" s="20" t="inlineStr">
        <is>
          <t>SRV-009</t>
        </is>
      </c>
      <c r="B13" s="20" t="inlineStr">
        <is>
          <t>C003</t>
        </is>
      </c>
      <c r="C13" s="20" t="inlineStr">
        <is>
          <t>Pinnacle Retail</t>
        </is>
      </c>
      <c r="D13" s="20" t="inlineStr">
        <is>
          <t>P007</t>
        </is>
      </c>
      <c r="E13" s="20" t="inlineStr">
        <is>
          <t>PrimeAdvisory Group</t>
        </is>
      </c>
      <c r="F13" s="20" t="inlineStr">
        <is>
          <t>Advisory / Consulting</t>
        </is>
      </c>
      <c r="G13" s="20" t="inlineStr">
        <is>
          <t>ENG-027</t>
        </is>
      </c>
      <c r="H13" s="20" t="inlineStr">
        <is>
          <t>Advocacy</t>
        </is>
      </c>
      <c r="I13" s="21" t="n">
        <v>44935</v>
      </c>
      <c r="J13" s="20" t="inlineStr">
        <is>
          <t>COO</t>
        </is>
      </c>
      <c r="K13" s="34" t="n">
        <v>7</v>
      </c>
      <c r="L13" s="34" t="n">
        <v>6</v>
      </c>
      <c r="M13" s="34" t="n">
        <v>8</v>
      </c>
      <c r="N13" s="34" t="n">
        <v>8</v>
      </c>
      <c r="O13" s="34" t="n">
        <v>7</v>
      </c>
      <c r="P13" s="34" t="n">
        <v>4</v>
      </c>
      <c r="Q13" s="34" t="n">
        <v>6</v>
      </c>
      <c r="R13" s="20" t="inlineStr">
        <is>
          <t>Y</t>
        </is>
      </c>
      <c r="S13" s="20" t="inlineStr">
        <is>
          <t>Decent experience but room for improvement</t>
        </is>
      </c>
    </row>
    <row r="14" ht="15" customHeight="1">
      <c r="A14" s="24" t="inlineStr">
        <is>
          <t>SRV-010</t>
        </is>
      </c>
      <c r="B14" s="24" t="inlineStr">
        <is>
          <t>C003</t>
        </is>
      </c>
      <c r="C14" s="24" t="inlineStr">
        <is>
          <t>Pinnacle Retail</t>
        </is>
      </c>
      <c r="D14" s="24" t="inlineStr">
        <is>
          <t>P008</t>
        </is>
      </c>
      <c r="E14" s="24" t="inlineStr">
        <is>
          <t>RapidDeploy Inc</t>
        </is>
      </c>
      <c r="F14" s="24" t="inlineStr">
        <is>
          <t>Delivery</t>
        </is>
      </c>
      <c r="G14" s="24" t="inlineStr">
        <is>
          <t>ENG-023</t>
        </is>
      </c>
      <c r="H14" s="24" t="inlineStr">
        <is>
          <t>Adoption</t>
        </is>
      </c>
      <c r="I14" s="25" t="n">
        <v>44737</v>
      </c>
      <c r="J14" s="24" t="inlineStr">
        <is>
          <t>COO</t>
        </is>
      </c>
      <c r="K14" s="35" t="n">
        <v>6</v>
      </c>
      <c r="L14" s="35" t="n">
        <v>6</v>
      </c>
      <c r="M14" s="35" t="n">
        <v>8</v>
      </c>
      <c r="N14" s="35" t="n">
        <v>7</v>
      </c>
      <c r="O14" s="35" t="n">
        <v>5</v>
      </c>
      <c r="P14" s="35" t="n">
        <v>4</v>
      </c>
      <c r="Q14" s="35" t="n">
        <v>6</v>
      </c>
      <c r="R14" s="24" t="inlineStr">
        <is>
          <t>Y</t>
        </is>
      </c>
      <c r="S14" s="24" t="inlineStr">
        <is>
          <t>Good initial work but follow-through could improve</t>
        </is>
      </c>
    </row>
    <row r="15" ht="15" customHeight="1">
      <c r="A15" s="20" t="inlineStr">
        <is>
          <t>SRV-011</t>
        </is>
      </c>
      <c r="B15" s="20" t="inlineStr">
        <is>
          <t>C003</t>
        </is>
      </c>
      <c r="C15" s="20" t="inlineStr">
        <is>
          <t>Pinnacle Retail</t>
        </is>
      </c>
      <c r="D15" s="20" t="inlineStr">
        <is>
          <t>P006</t>
        </is>
      </c>
      <c r="E15" s="20" t="inlineStr">
        <is>
          <t>NexGen Integrators</t>
        </is>
      </c>
      <c r="F15" s="20" t="inlineStr">
        <is>
          <t>Software / Integration</t>
        </is>
      </c>
      <c r="G15" s="20" t="inlineStr">
        <is>
          <t>ENG-025</t>
        </is>
      </c>
      <c r="H15" s="20" t="inlineStr">
        <is>
          <t>Retention</t>
        </is>
      </c>
      <c r="I15" s="21" t="n">
        <v>44831</v>
      </c>
      <c r="J15" s="20" t="inlineStr">
        <is>
          <t>Head of Analytics</t>
        </is>
      </c>
      <c r="K15" s="34" t="n">
        <v>4</v>
      </c>
      <c r="L15" s="34" t="n">
        <v>5</v>
      </c>
      <c r="M15" s="34" t="n">
        <v>5</v>
      </c>
      <c r="N15" s="34" t="n">
        <v>3</v>
      </c>
      <c r="O15" s="34" t="n">
        <v>4</v>
      </c>
      <c r="P15" s="34" t="n">
        <v>3</v>
      </c>
      <c r="Q15" s="34" t="n">
        <v>2</v>
      </c>
      <c r="R15" s="20" t="inlineStr">
        <is>
          <t>N</t>
        </is>
      </c>
      <c r="S15" s="20" t="inlineStr">
        <is>
          <t>Lack of ongoing support is concerning</t>
        </is>
      </c>
    </row>
    <row r="16" ht="23.25" customHeight="1">
      <c r="A16" s="24" t="inlineStr">
        <is>
          <t>SRV-012</t>
        </is>
      </c>
      <c r="B16" s="24" t="inlineStr">
        <is>
          <t>C003</t>
        </is>
      </c>
      <c r="C16" s="24" t="inlineStr">
        <is>
          <t>Pinnacle Retail</t>
        </is>
      </c>
      <c r="D16" s="24" t="inlineStr">
        <is>
          <t>P007</t>
        </is>
      </c>
      <c r="E16" s="24" t="inlineStr">
        <is>
          <t>PrimeAdvisory Group</t>
        </is>
      </c>
      <c r="F16" s="24" t="inlineStr">
        <is>
          <t>Advisory / Consulting</t>
        </is>
      </c>
      <c r="G16" s="24" t="inlineStr">
        <is>
          <t>ENG-021</t>
        </is>
      </c>
      <c r="H16" s="24" t="inlineStr">
        <is>
          <t>Acquisition</t>
        </is>
      </c>
      <c r="I16" s="25" t="n">
        <v>45023</v>
      </c>
      <c r="J16" s="24" t="inlineStr">
        <is>
          <t>VP Operations</t>
        </is>
      </c>
      <c r="K16" s="35" t="n">
        <v>8</v>
      </c>
      <c r="L16" s="35" t="n">
        <v>7</v>
      </c>
      <c r="M16" s="35" t="n">
        <v>7</v>
      </c>
      <c r="N16" s="35" t="n">
        <v>6</v>
      </c>
      <c r="O16" s="35" t="n">
        <v>5</v>
      </c>
      <c r="P16" s="35" t="n">
        <v>7</v>
      </c>
      <c r="Q16" s="35" t="n">
        <v>6</v>
      </c>
      <c r="R16" s="24" t="inlineStr">
        <is>
          <t>Y</t>
        </is>
      </c>
      <c r="S16" s="24" t="inlineStr">
        <is>
          <t>Annual follow-up: Decent experience but room for improvement</t>
        </is>
      </c>
    </row>
    <row r="17" ht="23.25" customHeight="1">
      <c r="A17" s="20" t="inlineStr">
        <is>
          <t>SRV-013</t>
        </is>
      </c>
      <c r="B17" s="20" t="inlineStr">
        <is>
          <t>C004</t>
        </is>
      </c>
      <c r="C17" s="20" t="inlineStr">
        <is>
          <t>Orion Manufacturing</t>
        </is>
      </c>
      <c r="D17" s="20" t="inlineStr">
        <is>
          <t>P001</t>
        </is>
      </c>
      <c r="E17" s="20" t="inlineStr">
        <is>
          <t>Apex Consulting</t>
        </is>
      </c>
      <c r="F17" s="20" t="inlineStr">
        <is>
          <t>Advisory / Consulting</t>
        </is>
      </c>
      <c r="G17" s="20" t="inlineStr">
        <is>
          <t>ENG-034</t>
        </is>
      </c>
      <c r="H17" s="20" t="inlineStr">
        <is>
          <t>Advocacy</t>
        </is>
      </c>
      <c r="I17" s="21" t="n">
        <v>44946</v>
      </c>
      <c r="J17" s="20" t="inlineStr">
        <is>
          <t>CIO</t>
        </is>
      </c>
      <c r="K17" s="34" t="n">
        <v>6</v>
      </c>
      <c r="L17" s="34" t="n">
        <v>7</v>
      </c>
      <c r="M17" s="34" t="n">
        <v>6</v>
      </c>
      <c r="N17" s="34" t="n">
        <v>8</v>
      </c>
      <c r="O17" s="34" t="n">
        <v>6</v>
      </c>
      <c r="P17" s="34" t="n">
        <v>6</v>
      </c>
      <c r="Q17" s="34" t="n">
        <v>4</v>
      </c>
      <c r="R17" s="20" t="inlineStr">
        <is>
          <t>Y</t>
        </is>
      </c>
      <c r="S17" s="20" t="inlineStr">
        <is>
          <t>Partner was helpful but we need more integration support</t>
        </is>
      </c>
    </row>
    <row r="18" ht="15" customHeight="1">
      <c r="A18" s="24" t="inlineStr">
        <is>
          <t>SRV-014</t>
        </is>
      </c>
      <c r="B18" s="24" t="inlineStr">
        <is>
          <t>C004</t>
        </is>
      </c>
      <c r="C18" s="24" t="inlineStr">
        <is>
          <t>Orion Manufacturing</t>
        </is>
      </c>
      <c r="D18" s="24" t="inlineStr">
        <is>
          <t>P003</t>
        </is>
      </c>
      <c r="E18" s="24" t="inlineStr">
        <is>
          <t>DataForce Services</t>
        </is>
      </c>
      <c r="F18" s="24" t="inlineStr">
        <is>
          <t>Delivery</t>
        </is>
      </c>
      <c r="G18" s="24" t="inlineStr">
        <is>
          <t>ENG-030</t>
        </is>
      </c>
      <c r="H18" s="24" t="inlineStr">
        <is>
          <t>Adoption</t>
        </is>
      </c>
      <c r="I18" s="25" t="n">
        <v>44788</v>
      </c>
      <c r="J18" s="24" t="inlineStr">
        <is>
          <t>VP Operations</t>
        </is>
      </c>
      <c r="K18" s="35" t="n">
        <v>9</v>
      </c>
      <c r="L18" s="35" t="n">
        <v>10</v>
      </c>
      <c r="M18" s="35" t="n">
        <v>10</v>
      </c>
      <c r="N18" s="35" t="n">
        <v>9</v>
      </c>
      <c r="O18" s="35" t="n">
        <v>7</v>
      </c>
      <c r="P18" s="35" t="n">
        <v>10</v>
      </c>
      <c r="Q18" s="35" t="n">
        <v>10</v>
      </c>
      <c r="R18" s="24" t="inlineStr">
        <is>
          <t>Y</t>
        </is>
      </c>
      <c r="S18" s="24" t="inlineStr">
        <is>
          <t>Implementation was smooth and well-managed</t>
        </is>
      </c>
    </row>
    <row r="19" ht="15" customHeight="1">
      <c r="A19" s="20" t="inlineStr">
        <is>
          <t>SRV-015</t>
        </is>
      </c>
      <c r="B19" s="20" t="inlineStr">
        <is>
          <t>C004</t>
        </is>
      </c>
      <c r="C19" s="20" t="inlineStr">
        <is>
          <t>Orion Manufacturing</t>
        </is>
      </c>
      <c r="D19" s="20" t="inlineStr">
        <is>
          <t>P009</t>
        </is>
      </c>
      <c r="E19" s="20" t="inlineStr">
        <is>
          <t>Northstar Advisory</t>
        </is>
      </c>
      <c r="F19" s="20" t="inlineStr">
        <is>
          <t>Embedded Advisor</t>
        </is>
      </c>
      <c r="G19" s="20" t="inlineStr">
        <is>
          <t>ENG-036</t>
        </is>
      </c>
      <c r="H19" s="20" t="inlineStr">
        <is>
          <t>Retention</t>
        </is>
      </c>
      <c r="I19" s="21" t="n">
        <v>45077</v>
      </c>
      <c r="J19" s="20" t="inlineStr">
        <is>
          <t>Head of Analytics</t>
        </is>
      </c>
      <c r="K19" s="34" t="n">
        <v>9</v>
      </c>
      <c r="L19" s="34" t="n">
        <v>8</v>
      </c>
      <c r="M19" s="34" t="n">
        <v>9</v>
      </c>
      <c r="N19" s="34" t="n">
        <v>8</v>
      </c>
      <c r="O19" s="34" t="n">
        <v>8</v>
      </c>
      <c r="P19" s="34" t="n">
        <v>9</v>
      </c>
      <c r="Q19" s="34" t="n">
        <v>8</v>
      </c>
      <c r="R19" s="20" t="inlineStr">
        <is>
          <t>Y</t>
        </is>
      </c>
      <c r="S19" s="20" t="inlineStr">
        <is>
          <t>Strong technical depth from partner team</t>
        </is>
      </c>
    </row>
    <row r="20" ht="23.25" customHeight="1">
      <c r="A20" s="24" t="inlineStr">
        <is>
          <t>SRV-016</t>
        </is>
      </c>
      <c r="B20" s="24" t="inlineStr">
        <is>
          <t>C004</t>
        </is>
      </c>
      <c r="C20" s="24" t="inlineStr">
        <is>
          <t>Orion Manufacturing</t>
        </is>
      </c>
      <c r="D20" s="24" t="inlineStr">
        <is>
          <t>P001</t>
        </is>
      </c>
      <c r="E20" s="24" t="inlineStr">
        <is>
          <t>Apex Consulting</t>
        </is>
      </c>
      <c r="F20" s="24" t="inlineStr">
        <is>
          <t>Advisory / Consulting</t>
        </is>
      </c>
      <c r="G20" s="24" t="inlineStr">
        <is>
          <t>ENG-028</t>
        </is>
      </c>
      <c r="H20" s="24" t="inlineStr">
        <is>
          <t>Acquisition</t>
        </is>
      </c>
      <c r="I20" s="25" t="n">
        <v>45019</v>
      </c>
      <c r="J20" s="24" t="inlineStr">
        <is>
          <t>CFO</t>
        </is>
      </c>
      <c r="K20" s="35" t="n">
        <v>8</v>
      </c>
      <c r="L20" s="35" t="n">
        <v>6</v>
      </c>
      <c r="M20" s="35" t="n">
        <v>8</v>
      </c>
      <c r="N20" s="35" t="n">
        <v>7</v>
      </c>
      <c r="O20" s="35" t="n">
        <v>7</v>
      </c>
      <c r="P20" s="35" t="n">
        <v>7</v>
      </c>
      <c r="Q20" s="35" t="n">
        <v>7</v>
      </c>
      <c r="R20" s="24" t="inlineStr">
        <is>
          <t>Y</t>
        </is>
      </c>
      <c r="S20" s="24" t="inlineStr">
        <is>
          <t>Annual follow-up: Good initial work but follow-through could improve</t>
        </is>
      </c>
    </row>
    <row r="21" ht="15" customHeight="1">
      <c r="A21" s="20" t="inlineStr">
        <is>
          <t>SRV-017</t>
        </is>
      </c>
      <c r="B21" s="20" t="inlineStr">
        <is>
          <t>C005</t>
        </is>
      </c>
      <c r="C21" s="20" t="inlineStr">
        <is>
          <t>Zenith Logistics</t>
        </is>
      </c>
      <c r="D21" s="20" t="inlineStr">
        <is>
          <t>P002</t>
        </is>
      </c>
      <c r="E21" s="20" t="inlineStr">
        <is>
          <t>CloudBridge Solutions</t>
        </is>
      </c>
      <c r="F21" s="20" t="inlineStr">
        <is>
          <t>Software / Integration</t>
        </is>
      </c>
      <c r="G21" s="20" t="inlineStr">
        <is>
          <t>ENG-044</t>
        </is>
      </c>
      <c r="H21" s="20" t="inlineStr">
        <is>
          <t>Advocacy</t>
        </is>
      </c>
      <c r="I21" s="21" t="n">
        <v>44985</v>
      </c>
      <c r="J21" s="20" t="inlineStr">
        <is>
          <t>IT Director</t>
        </is>
      </c>
      <c r="K21" s="34" t="n">
        <v>3</v>
      </c>
      <c r="L21" s="34" t="n">
        <v>5</v>
      </c>
      <c r="M21" s="34" t="n">
        <v>6</v>
      </c>
      <c r="N21" s="34" t="n">
        <v>3</v>
      </c>
      <c r="O21" s="34" t="n">
        <v>5</v>
      </c>
      <c r="P21" s="34" t="n">
        <v>4</v>
      </c>
      <c r="Q21" s="34" t="n">
        <v>3</v>
      </c>
      <c r="R21" s="20" t="inlineStr">
        <is>
          <t>N</t>
        </is>
      </c>
      <c r="S21" s="20" t="inlineStr">
        <is>
          <t>Implementation delays caused business disruption</t>
        </is>
      </c>
    </row>
    <row r="22" ht="15" customHeight="1">
      <c r="A22" s="24" t="inlineStr">
        <is>
          <t>SRV-018</t>
        </is>
      </c>
      <c r="B22" s="24" t="inlineStr">
        <is>
          <t>C005</t>
        </is>
      </c>
      <c r="C22" s="24" t="inlineStr">
        <is>
          <t>Zenith Logistics</t>
        </is>
      </c>
      <c r="D22" s="24" t="inlineStr">
        <is>
          <t>P008</t>
        </is>
      </c>
      <c r="E22" s="24" t="inlineStr">
        <is>
          <t>RapidDeploy Inc</t>
        </is>
      </c>
      <c r="F22" s="24" t="inlineStr">
        <is>
          <t>Delivery</t>
        </is>
      </c>
      <c r="G22" s="24" t="inlineStr">
        <is>
          <t>ENG-040</t>
        </is>
      </c>
      <c r="H22" s="24" t="inlineStr">
        <is>
          <t>Adoption</t>
        </is>
      </c>
      <c r="I22" s="25" t="n">
        <v>44809</v>
      </c>
      <c r="J22" s="24" t="inlineStr">
        <is>
          <t>Director of Digital</t>
        </is>
      </c>
      <c r="K22" s="35" t="n">
        <v>4</v>
      </c>
      <c r="L22" s="35" t="n">
        <v>3</v>
      </c>
      <c r="M22" s="35" t="n">
        <v>5</v>
      </c>
      <c r="N22" s="35" t="n">
        <v>3</v>
      </c>
      <c r="O22" s="35" t="n">
        <v>5</v>
      </c>
      <c r="P22" s="35" t="n">
        <v>2</v>
      </c>
      <c r="Q22" s="35" t="n">
        <v>2</v>
      </c>
      <c r="R22" s="24" t="inlineStr">
        <is>
          <t>N</t>
        </is>
      </c>
      <c r="S22" s="24" t="inlineStr">
        <is>
          <t>Implementation delays caused business disruption</t>
        </is>
      </c>
    </row>
    <row r="23" ht="15" customHeight="1">
      <c r="A23" s="20" t="inlineStr">
        <is>
          <t>SRV-019</t>
        </is>
      </c>
      <c r="B23" s="20" t="inlineStr">
        <is>
          <t>C005</t>
        </is>
      </c>
      <c r="C23" s="20" t="inlineStr">
        <is>
          <t>Zenith Logistics</t>
        </is>
      </c>
      <c r="D23" s="20" t="inlineStr">
        <is>
          <t>P005</t>
        </is>
      </c>
      <c r="E23" s="20" t="inlineStr">
        <is>
          <t>ManagedOps Pro</t>
        </is>
      </c>
      <c r="F23" s="20" t="inlineStr">
        <is>
          <t>Managed Services</t>
        </is>
      </c>
      <c r="G23" s="20" t="inlineStr">
        <is>
          <t>ENG-042</t>
        </is>
      </c>
      <c r="H23" s="20" t="inlineStr">
        <is>
          <t>Retention</t>
        </is>
      </c>
      <c r="I23" s="21" t="n">
        <v>44887</v>
      </c>
      <c r="J23" s="20" t="inlineStr">
        <is>
          <t>CIO</t>
        </is>
      </c>
      <c r="K23" s="34" t="n">
        <v>3</v>
      </c>
      <c r="L23" s="34" t="n">
        <v>3</v>
      </c>
      <c r="M23" s="34" t="n">
        <v>6</v>
      </c>
      <c r="N23" s="34" t="n">
        <v>4</v>
      </c>
      <c r="O23" s="34" t="n">
        <v>6</v>
      </c>
      <c r="P23" s="34" t="n">
        <v>2</v>
      </c>
      <c r="Q23" s="34" t="n">
        <v>3</v>
      </c>
      <c r="R23" s="20" t="inlineStr">
        <is>
          <t>N</t>
        </is>
      </c>
      <c r="S23" s="20" t="inlineStr">
        <is>
          <t>Considering alternatives due to gaps in ecosystem</t>
        </is>
      </c>
    </row>
    <row r="24" ht="23.25" customHeight="1">
      <c r="A24" s="24" t="inlineStr">
        <is>
          <t>SRV-020</t>
        </is>
      </c>
      <c r="B24" s="24" t="inlineStr">
        <is>
          <t>C005</t>
        </is>
      </c>
      <c r="C24" s="24" t="inlineStr">
        <is>
          <t>Zenith Logistics</t>
        </is>
      </c>
      <c r="D24" s="24" t="inlineStr">
        <is>
          <t>P002</t>
        </is>
      </c>
      <c r="E24" s="24" t="inlineStr">
        <is>
          <t>CloudBridge Solutions</t>
        </is>
      </c>
      <c r="F24" s="24" t="inlineStr">
        <is>
          <t>Software / Integration</t>
        </is>
      </c>
      <c r="G24" s="24" t="inlineStr">
        <is>
          <t>ENG-038</t>
        </is>
      </c>
      <c r="H24" s="24" t="inlineStr">
        <is>
          <t>Acquisition</t>
        </is>
      </c>
      <c r="I24" s="25" t="n">
        <v>45017</v>
      </c>
      <c r="J24" s="24" t="inlineStr">
        <is>
          <t>COO</t>
        </is>
      </c>
      <c r="K24" s="35" t="n">
        <v>5</v>
      </c>
      <c r="L24" s="35" t="n">
        <v>4</v>
      </c>
      <c r="M24" s="35" t="n">
        <v>3</v>
      </c>
      <c r="N24" s="35" t="n">
        <v>5</v>
      </c>
      <c r="O24" s="35" t="n">
        <v>3</v>
      </c>
      <c r="P24" s="35" t="n">
        <v>3</v>
      </c>
      <c r="Q24" s="35" t="n">
        <v>3</v>
      </c>
      <c r="R24" s="24" t="inlineStr">
        <is>
          <t>N</t>
        </is>
      </c>
      <c r="S24" s="24" t="inlineStr">
        <is>
          <t>Annual follow-up: Considering alternatives due to gaps in ecosystem</t>
        </is>
      </c>
    </row>
    <row r="25" ht="15" customHeight="1">
      <c r="A25" s="20" t="inlineStr">
        <is>
          <t>SRV-021</t>
        </is>
      </c>
      <c r="B25" s="20" t="inlineStr">
        <is>
          <t>C006</t>
        </is>
      </c>
      <c r="C25" s="20" t="inlineStr">
        <is>
          <t>Beacon Education</t>
        </is>
      </c>
      <c r="D25" s="20" t="inlineStr">
        <is>
          <t>P004</t>
        </is>
      </c>
      <c r="E25" s="20" t="inlineStr">
        <is>
          <t>EduTech Partners</t>
        </is>
      </c>
      <c r="F25" s="20" t="inlineStr">
        <is>
          <t>Training</t>
        </is>
      </c>
      <c r="G25" s="20" t="inlineStr">
        <is>
          <t>ENG-051</t>
        </is>
      </c>
      <c r="H25" s="20" t="inlineStr">
        <is>
          <t>Advocacy</t>
        </is>
      </c>
      <c r="I25" s="21" t="n">
        <v>45029</v>
      </c>
      <c r="J25" s="20" t="inlineStr">
        <is>
          <t>CFO</t>
        </is>
      </c>
      <c r="K25" s="34" t="n">
        <v>6</v>
      </c>
      <c r="L25" s="34" t="n">
        <v>5</v>
      </c>
      <c r="M25" s="34" t="n">
        <v>6</v>
      </c>
      <c r="N25" s="34" t="n">
        <v>7</v>
      </c>
      <c r="O25" s="34" t="n">
        <v>6</v>
      </c>
      <c r="P25" s="34" t="n">
        <v>4</v>
      </c>
      <c r="Q25" s="34" t="n">
        <v>6</v>
      </c>
      <c r="R25" s="20" t="inlineStr">
        <is>
          <t>Y</t>
        </is>
      </c>
      <c r="S25" s="20" t="inlineStr">
        <is>
          <t>Decent experience but room for improvement</t>
        </is>
      </c>
    </row>
    <row r="26" ht="15" customHeight="1">
      <c r="A26" s="24" t="inlineStr">
        <is>
          <t>SRV-022</t>
        </is>
      </c>
      <c r="B26" s="24" t="inlineStr">
        <is>
          <t>C006</t>
        </is>
      </c>
      <c r="C26" s="24" t="inlineStr">
        <is>
          <t>Beacon Education</t>
        </is>
      </c>
      <c r="D26" s="24" t="inlineStr">
        <is>
          <t>P006</t>
        </is>
      </c>
      <c r="E26" s="24" t="inlineStr">
        <is>
          <t>NexGen Integrators</t>
        </is>
      </c>
      <c r="F26" s="24" t="inlineStr">
        <is>
          <t>Software / Integration</t>
        </is>
      </c>
      <c r="G26" s="24" t="inlineStr">
        <is>
          <t>ENG-047</t>
        </is>
      </c>
      <c r="H26" s="24" t="inlineStr">
        <is>
          <t>Adoption</t>
        </is>
      </c>
      <c r="I26" s="25" t="n">
        <v>44833</v>
      </c>
      <c r="J26" s="24" t="inlineStr">
        <is>
          <t>COO</t>
        </is>
      </c>
      <c r="K26" s="35" t="n">
        <v>3</v>
      </c>
      <c r="L26" s="35" t="n">
        <v>5</v>
      </c>
      <c r="M26" s="35" t="n">
        <v>6</v>
      </c>
      <c r="N26" s="35" t="n">
        <v>3</v>
      </c>
      <c r="O26" s="35" t="n">
        <v>3</v>
      </c>
      <c r="P26" s="35" t="n">
        <v>3</v>
      </c>
      <c r="Q26" s="35" t="n">
        <v>2</v>
      </c>
      <c r="R26" s="24" t="inlineStr">
        <is>
          <t>N</t>
        </is>
      </c>
      <c r="S26" s="24" t="inlineStr">
        <is>
          <t>Partner disappeared after go-live</t>
        </is>
      </c>
    </row>
    <row r="27" ht="15" customHeight="1">
      <c r="A27" s="20" t="inlineStr">
        <is>
          <t>SRV-023</t>
        </is>
      </c>
      <c r="B27" s="20" t="inlineStr">
        <is>
          <t>C006</t>
        </is>
      </c>
      <c r="C27" s="20" t="inlineStr">
        <is>
          <t>Beacon Education</t>
        </is>
      </c>
      <c r="D27" s="20" t="inlineStr">
        <is>
          <t>P010</t>
        </is>
      </c>
      <c r="E27" s="20" t="inlineStr">
        <is>
          <t>SkillForge Academy</t>
        </is>
      </c>
      <c r="F27" s="20" t="inlineStr">
        <is>
          <t>Training</t>
        </is>
      </c>
      <c r="G27" s="20" t="inlineStr">
        <is>
          <t>ENG-049</t>
        </is>
      </c>
      <c r="H27" s="20" t="inlineStr">
        <is>
          <t>Retention</t>
        </is>
      </c>
      <c r="I27" s="21" t="n">
        <v>44922</v>
      </c>
      <c r="J27" s="20" t="inlineStr">
        <is>
          <t>Director of Digital</t>
        </is>
      </c>
      <c r="K27" s="34" t="n">
        <v>7</v>
      </c>
      <c r="L27" s="34" t="n">
        <v>7</v>
      </c>
      <c r="M27" s="34" t="n">
        <v>7</v>
      </c>
      <c r="N27" s="34" t="n">
        <v>7</v>
      </c>
      <c r="O27" s="34" t="n">
        <v>7</v>
      </c>
      <c r="P27" s="34" t="n">
        <v>4</v>
      </c>
      <c r="Q27" s="34" t="n">
        <v>6</v>
      </c>
      <c r="R27" s="20" t="inlineStr">
        <is>
          <t>Y</t>
        </is>
      </c>
      <c r="S27" s="20" t="inlineStr">
        <is>
          <t>Good initial work but follow-through could improve</t>
        </is>
      </c>
    </row>
    <row r="28" ht="23.25" customHeight="1">
      <c r="A28" s="24" t="inlineStr">
        <is>
          <t>SRV-024</t>
        </is>
      </c>
      <c r="B28" s="24" t="inlineStr">
        <is>
          <t>C006</t>
        </is>
      </c>
      <c r="C28" s="24" t="inlineStr">
        <is>
          <t>Beacon Education</t>
        </is>
      </c>
      <c r="D28" s="24" t="inlineStr">
        <is>
          <t>P004</t>
        </is>
      </c>
      <c r="E28" s="24" t="inlineStr">
        <is>
          <t>EduTech Partners</t>
        </is>
      </c>
      <c r="F28" s="24" t="inlineStr">
        <is>
          <t>Training</t>
        </is>
      </c>
      <c r="G28" s="24" t="inlineStr">
        <is>
          <t>ENG-045</t>
        </is>
      </c>
      <c r="H28" s="24" t="inlineStr">
        <is>
          <t>Acquisition</t>
        </is>
      </c>
      <c r="I28" s="25" t="n">
        <v>45058</v>
      </c>
      <c r="J28" s="24" t="inlineStr">
        <is>
          <t>CIO</t>
        </is>
      </c>
      <c r="K28" s="35" t="n">
        <v>7</v>
      </c>
      <c r="L28" s="35" t="n">
        <v>6</v>
      </c>
      <c r="M28" s="35" t="n">
        <v>6</v>
      </c>
      <c r="N28" s="35" t="n">
        <v>6</v>
      </c>
      <c r="O28" s="35" t="n">
        <v>7</v>
      </c>
      <c r="P28" s="35" t="n">
        <v>6</v>
      </c>
      <c r="Q28" s="35" t="n">
        <v>6</v>
      </c>
      <c r="R28" s="24" t="inlineStr">
        <is>
          <t>Y</t>
        </is>
      </c>
      <c r="S28" s="24" t="inlineStr">
        <is>
          <t>Annual follow-up: Decent experience but room for improvement</t>
        </is>
      </c>
    </row>
    <row r="29" ht="15" customHeight="1">
      <c r="A29" s="20" t="inlineStr">
        <is>
          <t>SRV-025</t>
        </is>
      </c>
      <c r="B29" s="20" t="inlineStr">
        <is>
          <t>C007</t>
        </is>
      </c>
      <c r="C29" s="20" t="inlineStr">
        <is>
          <t>Forge Industries</t>
        </is>
      </c>
      <c r="D29" s="20" t="inlineStr">
        <is>
          <t>P011</t>
        </is>
      </c>
      <c r="E29" s="20" t="inlineStr">
        <is>
          <t>TrueNorth Advisory</t>
        </is>
      </c>
      <c r="F29" s="20" t="inlineStr">
        <is>
          <t>Advisory / Consulting</t>
        </is>
      </c>
      <c r="G29" s="20" t="inlineStr">
        <is>
          <t>ENG-058</t>
        </is>
      </c>
      <c r="H29" s="20" t="inlineStr">
        <is>
          <t>Advocacy</t>
        </is>
      </c>
      <c r="I29" s="21" t="n">
        <v>45070</v>
      </c>
      <c r="J29" s="20" t="inlineStr">
        <is>
          <t>CIO</t>
        </is>
      </c>
      <c r="K29" s="34" t="n">
        <v>10</v>
      </c>
      <c r="L29" s="34" t="n">
        <v>8</v>
      </c>
      <c r="M29" s="34" t="n">
        <v>10</v>
      </c>
      <c r="N29" s="34" t="n">
        <v>9</v>
      </c>
      <c r="O29" s="34" t="n">
        <v>9</v>
      </c>
      <c r="P29" s="34" t="n">
        <v>8</v>
      </c>
      <c r="Q29" s="34" t="n">
        <v>8</v>
      </c>
      <c r="R29" s="20" t="inlineStr">
        <is>
          <t>Y</t>
        </is>
      </c>
      <c r="S29" s="20" t="inlineStr">
        <is>
          <t>Excellent ongoing advisory relationship</t>
        </is>
      </c>
    </row>
    <row r="30" ht="23.25" customHeight="1">
      <c r="A30" s="24" t="inlineStr">
        <is>
          <t>SRV-026</t>
        </is>
      </c>
      <c r="B30" s="24" t="inlineStr">
        <is>
          <t>C007</t>
        </is>
      </c>
      <c r="C30" s="24" t="inlineStr">
        <is>
          <t>Forge Industries</t>
        </is>
      </c>
      <c r="D30" s="24" t="inlineStr">
        <is>
          <t>P003</t>
        </is>
      </c>
      <c r="E30" s="24" t="inlineStr">
        <is>
          <t>DataForce Services</t>
        </is>
      </c>
      <c r="F30" s="24" t="inlineStr">
        <is>
          <t>Delivery</t>
        </is>
      </c>
      <c r="G30" s="24" t="inlineStr">
        <is>
          <t>ENG-054</t>
        </is>
      </c>
      <c r="H30" s="24" t="inlineStr">
        <is>
          <t>Adoption</t>
        </is>
      </c>
      <c r="I30" s="25" t="n">
        <v>44882</v>
      </c>
      <c r="J30" s="24" t="inlineStr">
        <is>
          <t>CTO</t>
        </is>
      </c>
      <c r="K30" s="35" t="n">
        <v>6</v>
      </c>
      <c r="L30" s="35" t="n">
        <v>5</v>
      </c>
      <c r="M30" s="35" t="n">
        <v>7</v>
      </c>
      <c r="N30" s="35" t="n">
        <v>8</v>
      </c>
      <c r="O30" s="35" t="n">
        <v>6</v>
      </c>
      <c r="P30" s="35" t="n">
        <v>4</v>
      </c>
      <c r="Q30" s="35" t="n">
        <v>5</v>
      </c>
      <c r="R30" s="24" t="inlineStr">
        <is>
          <t>Y</t>
        </is>
      </c>
      <c r="S30" s="24" t="inlineStr">
        <is>
          <t>Partner was helpful but we need more integration support</t>
        </is>
      </c>
    </row>
    <row r="31" ht="15" customHeight="1">
      <c r="A31" s="20" t="inlineStr">
        <is>
          <t>SRV-027</t>
        </is>
      </c>
      <c r="B31" s="20" t="inlineStr">
        <is>
          <t>C007</t>
        </is>
      </c>
      <c r="C31" s="20" t="inlineStr">
        <is>
          <t>Forge Industries</t>
        </is>
      </c>
      <c r="D31" s="20" t="inlineStr">
        <is>
          <t>P009</t>
        </is>
      </c>
      <c r="E31" s="20" t="inlineStr">
        <is>
          <t>Northstar Advisory</t>
        </is>
      </c>
      <c r="F31" s="20" t="inlineStr">
        <is>
          <t>Embedded Advisor</t>
        </is>
      </c>
      <c r="G31" s="20" t="inlineStr">
        <is>
          <t>ENG-060</t>
        </is>
      </c>
      <c r="H31" s="20" t="inlineStr">
        <is>
          <t>Retention</t>
        </is>
      </c>
      <c r="I31" s="21" t="n">
        <v>45108</v>
      </c>
      <c r="J31" s="20" t="inlineStr">
        <is>
          <t>IT Director</t>
        </is>
      </c>
      <c r="K31" s="34" t="n">
        <v>8</v>
      </c>
      <c r="L31" s="34" t="n">
        <v>8</v>
      </c>
      <c r="M31" s="34" t="n">
        <v>9</v>
      </c>
      <c r="N31" s="34" t="n">
        <v>9</v>
      </c>
      <c r="O31" s="34" t="n">
        <v>8</v>
      </c>
      <c r="P31" s="34" t="n">
        <v>8</v>
      </c>
      <c r="Q31" s="34" t="n">
        <v>10</v>
      </c>
      <c r="R31" s="20" t="inlineStr">
        <is>
          <t>Y</t>
        </is>
      </c>
      <c r="S31" s="20" t="inlineStr">
        <is>
          <t>Excellent ongoing advisory relationship</t>
        </is>
      </c>
    </row>
    <row r="32" ht="23.25" customHeight="1">
      <c r="A32" s="24" t="inlineStr">
        <is>
          <t>SRV-028</t>
        </is>
      </c>
      <c r="B32" s="24" t="inlineStr">
        <is>
          <t>C007</t>
        </is>
      </c>
      <c r="C32" s="24" t="inlineStr">
        <is>
          <t>Forge Industries</t>
        </is>
      </c>
      <c r="D32" s="24" t="inlineStr">
        <is>
          <t>P011</t>
        </is>
      </c>
      <c r="E32" s="24" t="inlineStr">
        <is>
          <t>TrueNorth Advisory</t>
        </is>
      </c>
      <c r="F32" s="24" t="inlineStr">
        <is>
          <t>Advisory / Consulting</t>
        </is>
      </c>
      <c r="G32" s="24" t="inlineStr">
        <is>
          <t>ENG-052</t>
        </is>
      </c>
      <c r="H32" s="24" t="inlineStr">
        <is>
          <t>Acquisition</t>
        </is>
      </c>
      <c r="I32" s="25" t="n">
        <v>45067</v>
      </c>
      <c r="J32" s="24" t="inlineStr">
        <is>
          <t>CTO</t>
        </is>
      </c>
      <c r="K32" s="35" t="n">
        <v>8</v>
      </c>
      <c r="L32" s="35" t="n">
        <v>9</v>
      </c>
      <c r="M32" s="35" t="n">
        <v>9</v>
      </c>
      <c r="N32" s="35" t="n">
        <v>8</v>
      </c>
      <c r="O32" s="35" t="n">
        <v>7</v>
      </c>
      <c r="P32" s="35" t="n">
        <v>9</v>
      </c>
      <c r="Q32" s="35" t="n">
        <v>8</v>
      </c>
      <c r="R32" s="24" t="inlineStr">
        <is>
          <t>Y</t>
        </is>
      </c>
      <c r="S32" s="24" t="inlineStr">
        <is>
          <t>Annual follow-up: Ecosystem covers nearly all our needs</t>
        </is>
      </c>
    </row>
    <row r="33" ht="15" customHeight="1">
      <c r="A33" s="20" t="inlineStr">
        <is>
          <t>SRV-029</t>
        </is>
      </c>
      <c r="B33" s="20" t="inlineStr">
        <is>
          <t>C008</t>
        </is>
      </c>
      <c r="C33" s="20" t="inlineStr">
        <is>
          <t>Crestline Media</t>
        </is>
      </c>
      <c r="D33" s="20" t="inlineStr">
        <is>
          <t>P007</t>
        </is>
      </c>
      <c r="E33" s="20" t="inlineStr">
        <is>
          <t>PrimeAdvisory Group</t>
        </is>
      </c>
      <c r="F33" s="20" t="inlineStr">
        <is>
          <t>Advisory / Consulting</t>
        </is>
      </c>
      <c r="G33" s="20" t="inlineStr">
        <is>
          <t>ENG-068</t>
        </is>
      </c>
      <c r="H33" s="20" t="inlineStr">
        <is>
          <t>Advocacy</t>
        </is>
      </c>
      <c r="I33" s="21" t="n">
        <v>45086</v>
      </c>
      <c r="J33" s="20" t="inlineStr">
        <is>
          <t>Director of Digital</t>
        </is>
      </c>
      <c r="K33" s="34" t="n">
        <v>4</v>
      </c>
      <c r="L33" s="34" t="n">
        <v>4</v>
      </c>
      <c r="M33" s="34" t="n">
        <v>5</v>
      </c>
      <c r="N33" s="34" t="n">
        <v>4</v>
      </c>
      <c r="O33" s="34" t="n">
        <v>4</v>
      </c>
      <c r="P33" s="34" t="n">
        <v>4</v>
      </c>
      <c r="Q33" s="34" t="n">
        <v>4</v>
      </c>
      <c r="R33" s="20" t="inlineStr">
        <is>
          <t>N</t>
        </is>
      </c>
      <c r="S33" s="20" t="inlineStr">
        <is>
          <t>Partner disappeared after go-live</t>
        </is>
      </c>
    </row>
    <row r="34" ht="15" customHeight="1">
      <c r="A34" s="24" t="inlineStr">
        <is>
          <t>SRV-030</t>
        </is>
      </c>
      <c r="B34" s="24" t="inlineStr">
        <is>
          <t>C008</t>
        </is>
      </c>
      <c r="C34" s="24" t="inlineStr">
        <is>
          <t>Crestline Media</t>
        </is>
      </c>
      <c r="D34" s="24" t="inlineStr">
        <is>
          <t>P008</t>
        </is>
      </c>
      <c r="E34" s="24" t="inlineStr">
        <is>
          <t>RapidDeploy Inc</t>
        </is>
      </c>
      <c r="F34" s="24" t="inlineStr">
        <is>
          <t>Delivery</t>
        </is>
      </c>
      <c r="G34" s="24" t="inlineStr">
        <is>
          <t>ENG-064</t>
        </is>
      </c>
      <c r="H34" s="24" t="inlineStr">
        <is>
          <t>Adoption</t>
        </is>
      </c>
      <c r="I34" s="25" t="n">
        <v>44898</v>
      </c>
      <c r="J34" s="24" t="inlineStr">
        <is>
          <t>COO</t>
        </is>
      </c>
      <c r="K34" s="35" t="n">
        <v>7</v>
      </c>
      <c r="L34" s="35" t="n">
        <v>5</v>
      </c>
      <c r="M34" s="35" t="n">
        <v>7</v>
      </c>
      <c r="N34" s="35" t="n">
        <v>8</v>
      </c>
      <c r="O34" s="35" t="n">
        <v>7</v>
      </c>
      <c r="P34" s="35" t="n">
        <v>6</v>
      </c>
      <c r="Q34" s="35" t="n">
        <v>4</v>
      </c>
      <c r="R34" s="24" t="inlineStr">
        <is>
          <t>Y</t>
        </is>
      </c>
      <c r="S34" s="24" t="inlineStr">
        <is>
          <t>Good initial work but follow-through could improve</t>
        </is>
      </c>
    </row>
    <row r="35" ht="15" customHeight="1">
      <c r="A35" s="20" t="inlineStr">
        <is>
          <t>SRV-031</t>
        </is>
      </c>
      <c r="B35" s="20" t="inlineStr">
        <is>
          <t>C008</t>
        </is>
      </c>
      <c r="C35" s="20" t="inlineStr">
        <is>
          <t>Crestline Media</t>
        </is>
      </c>
      <c r="D35" s="20" t="inlineStr">
        <is>
          <t>P006</t>
        </is>
      </c>
      <c r="E35" s="20" t="inlineStr">
        <is>
          <t>NexGen Integrators</t>
        </is>
      </c>
      <c r="F35" s="20" t="inlineStr">
        <is>
          <t>Software / Integration</t>
        </is>
      </c>
      <c r="G35" s="20" t="inlineStr">
        <is>
          <t>ENG-066</t>
        </is>
      </c>
      <c r="H35" s="20" t="inlineStr">
        <is>
          <t>Retention</t>
        </is>
      </c>
      <c r="I35" s="21" t="n">
        <v>44989</v>
      </c>
      <c r="J35" s="20" t="inlineStr">
        <is>
          <t>VP Operations</t>
        </is>
      </c>
      <c r="K35" s="34" t="n">
        <v>5</v>
      </c>
      <c r="L35" s="34" t="n">
        <v>4</v>
      </c>
      <c r="M35" s="34" t="n">
        <v>6</v>
      </c>
      <c r="N35" s="34" t="n">
        <v>5</v>
      </c>
      <c r="O35" s="34" t="n">
        <v>3</v>
      </c>
      <c r="P35" s="34" t="n">
        <v>3</v>
      </c>
      <c r="Q35" s="34" t="n">
        <v>4</v>
      </c>
      <c r="R35" s="20" t="inlineStr">
        <is>
          <t>N</t>
        </is>
      </c>
      <c r="S35" s="20" t="inlineStr">
        <is>
          <t>Partner disappeared after go-live</t>
        </is>
      </c>
    </row>
    <row r="36" ht="15" customHeight="1">
      <c r="A36" s="24" t="inlineStr">
        <is>
          <t>SRV-032</t>
        </is>
      </c>
      <c r="B36" s="24" t="inlineStr">
        <is>
          <t>C008</t>
        </is>
      </c>
      <c r="C36" s="24" t="inlineStr">
        <is>
          <t>Crestline Media</t>
        </is>
      </c>
      <c r="D36" s="24" t="inlineStr">
        <is>
          <t>P007</t>
        </is>
      </c>
      <c r="E36" s="24" t="inlineStr">
        <is>
          <t>PrimeAdvisory Group</t>
        </is>
      </c>
      <c r="F36" s="24" t="inlineStr">
        <is>
          <t>Advisory / Consulting</t>
        </is>
      </c>
      <c r="G36" s="24" t="inlineStr">
        <is>
          <t>ENG-062</t>
        </is>
      </c>
      <c r="H36" s="24" t="inlineStr">
        <is>
          <t>Acquisition</t>
        </is>
      </c>
      <c r="I36" s="25" t="n">
        <v>45102</v>
      </c>
      <c r="J36" s="24" t="inlineStr">
        <is>
          <t>CFO</t>
        </is>
      </c>
      <c r="K36" s="35" t="n">
        <v>5</v>
      </c>
      <c r="L36" s="35" t="n">
        <v>2</v>
      </c>
      <c r="M36" s="35" t="n">
        <v>5</v>
      </c>
      <c r="N36" s="35" t="n">
        <v>3</v>
      </c>
      <c r="O36" s="35" t="n">
        <v>3</v>
      </c>
      <c r="P36" s="35" t="n">
        <v>2</v>
      </c>
      <c r="Q36" s="35" t="n">
        <v>3</v>
      </c>
      <c r="R36" s="24" t="inlineStr">
        <is>
          <t>N</t>
        </is>
      </c>
      <c r="S36" s="24" t="inlineStr">
        <is>
          <t>Annual follow-up: Partner disappeared after go-live</t>
        </is>
      </c>
    </row>
    <row r="37" ht="15" customHeight="1">
      <c r="A37" s="20" t="inlineStr">
        <is>
          <t>SRV-033</t>
        </is>
      </c>
      <c r="B37" s="20" t="inlineStr">
        <is>
          <t>C009</t>
        </is>
      </c>
      <c r="C37" s="20" t="inlineStr">
        <is>
          <t>Summit Energy</t>
        </is>
      </c>
      <c r="D37" s="20" t="inlineStr">
        <is>
          <t>P001</t>
        </is>
      </c>
      <c r="E37" s="20" t="inlineStr">
        <is>
          <t>Apex Consulting</t>
        </is>
      </c>
      <c r="F37" s="20" t="inlineStr">
        <is>
          <t>Advisory / Consulting</t>
        </is>
      </c>
      <c r="G37" s="20" t="inlineStr">
        <is>
          <t>ENG-075</t>
        </is>
      </c>
      <c r="H37" s="20" t="inlineStr">
        <is>
          <t>Advocacy</t>
        </is>
      </c>
      <c r="I37" s="21" t="n">
        <v>45090</v>
      </c>
      <c r="J37" s="20" t="inlineStr">
        <is>
          <t>Head of Analytics</t>
        </is>
      </c>
      <c r="K37" s="34" t="n">
        <v>8</v>
      </c>
      <c r="L37" s="34" t="n">
        <v>9</v>
      </c>
      <c r="M37" s="34" t="n">
        <v>10</v>
      </c>
      <c r="N37" s="34" t="n">
        <v>9</v>
      </c>
      <c r="O37" s="34" t="n">
        <v>9</v>
      </c>
      <c r="P37" s="34" t="n">
        <v>10</v>
      </c>
      <c r="Q37" s="34" t="n">
        <v>9</v>
      </c>
      <c r="R37" s="20" t="inlineStr">
        <is>
          <t>Y</t>
        </is>
      </c>
      <c r="S37" s="20" t="inlineStr">
        <is>
          <t>Implementation was smooth and well-managed</t>
        </is>
      </c>
    </row>
    <row r="38" ht="15" customHeight="1">
      <c r="A38" s="24" t="inlineStr">
        <is>
          <t>SRV-034</t>
        </is>
      </c>
      <c r="B38" s="24" t="inlineStr">
        <is>
          <t>C009</t>
        </is>
      </c>
      <c r="C38" s="24" t="inlineStr">
        <is>
          <t>Summit Energy</t>
        </is>
      </c>
      <c r="D38" s="24" t="inlineStr">
        <is>
          <t>P003</t>
        </is>
      </c>
      <c r="E38" s="24" t="inlineStr">
        <is>
          <t>DataForce Services</t>
        </is>
      </c>
      <c r="F38" s="24" t="inlineStr">
        <is>
          <t>Delivery</t>
        </is>
      </c>
      <c r="G38" s="24" t="inlineStr">
        <is>
          <t>ENG-071</t>
        </is>
      </c>
      <c r="H38" s="24" t="inlineStr">
        <is>
          <t>Adoption</t>
        </is>
      </c>
      <c r="I38" s="25" t="n">
        <v>44919</v>
      </c>
      <c r="J38" s="24" t="inlineStr">
        <is>
          <t>Head of Analytics</t>
        </is>
      </c>
      <c r="K38" s="35" t="n">
        <v>10</v>
      </c>
      <c r="L38" s="35" t="n">
        <v>9</v>
      </c>
      <c r="M38" s="35" t="n">
        <v>9</v>
      </c>
      <c r="N38" s="35" t="n">
        <v>8</v>
      </c>
      <c r="O38" s="35" t="n">
        <v>8</v>
      </c>
      <c r="P38" s="35" t="n">
        <v>8</v>
      </c>
      <c r="Q38" s="35" t="n">
        <v>10</v>
      </c>
      <c r="R38" s="24" t="inlineStr">
        <is>
          <t>Y</t>
        </is>
      </c>
      <c r="S38" s="24" t="inlineStr">
        <is>
          <t>Strong technical depth from partner team</t>
        </is>
      </c>
    </row>
    <row r="39" ht="23.25" customHeight="1">
      <c r="A39" s="20" t="inlineStr">
        <is>
          <t>SRV-035</t>
        </is>
      </c>
      <c r="B39" s="20" t="inlineStr">
        <is>
          <t>C009</t>
        </is>
      </c>
      <c r="C39" s="20" t="inlineStr">
        <is>
          <t>Summit Energy</t>
        </is>
      </c>
      <c r="D39" s="20" t="inlineStr">
        <is>
          <t>P005</t>
        </is>
      </c>
      <c r="E39" s="20" t="inlineStr">
        <is>
          <t>ManagedOps Pro</t>
        </is>
      </c>
      <c r="F39" s="20" t="inlineStr">
        <is>
          <t>Managed Services</t>
        </is>
      </c>
      <c r="G39" s="20" t="inlineStr">
        <is>
          <t>ENG-078</t>
        </is>
      </c>
      <c r="H39" s="20" t="inlineStr">
        <is>
          <t>Expansion</t>
        </is>
      </c>
      <c r="I39" s="21" t="n">
        <v>45225</v>
      </c>
      <c r="J39" s="20" t="inlineStr">
        <is>
          <t>CFO</t>
        </is>
      </c>
      <c r="K39" s="34" t="n">
        <v>8</v>
      </c>
      <c r="L39" s="34" t="n">
        <v>8</v>
      </c>
      <c r="M39" s="34" t="n">
        <v>9</v>
      </c>
      <c r="N39" s="34" t="n">
        <v>9</v>
      </c>
      <c r="O39" s="34" t="n">
        <v>10</v>
      </c>
      <c r="P39" s="34" t="n">
        <v>8</v>
      </c>
      <c r="Q39" s="34" t="n">
        <v>8</v>
      </c>
      <c r="R39" s="20" t="inlineStr">
        <is>
          <t>Y</t>
        </is>
      </c>
      <c r="S39" s="20" t="inlineStr">
        <is>
          <t>Would not have achieved ROI without partner support</t>
        </is>
      </c>
    </row>
    <row r="40" ht="23.25" customHeight="1">
      <c r="A40" s="24" t="inlineStr">
        <is>
          <t>SRV-036</t>
        </is>
      </c>
      <c r="B40" s="24" t="inlineStr">
        <is>
          <t>C009</t>
        </is>
      </c>
      <c r="C40" s="24" t="inlineStr">
        <is>
          <t>Summit Energy</t>
        </is>
      </c>
      <c r="D40" s="24" t="inlineStr">
        <is>
          <t>P001</t>
        </is>
      </c>
      <c r="E40" s="24" t="inlineStr">
        <is>
          <t>Apex Consulting</t>
        </is>
      </c>
      <c r="F40" s="24" t="inlineStr">
        <is>
          <t>Advisory / Consulting</t>
        </is>
      </c>
      <c r="G40" s="24" t="inlineStr">
        <is>
          <t>ENG-069</t>
        </is>
      </c>
      <c r="H40" s="24" t="inlineStr">
        <is>
          <t>Acquisition</t>
        </is>
      </c>
      <c r="I40" s="25" t="n">
        <v>45168</v>
      </c>
      <c r="J40" s="24" t="inlineStr">
        <is>
          <t>Director of Digital</t>
        </is>
      </c>
      <c r="K40" s="35" t="n">
        <v>8</v>
      </c>
      <c r="L40" s="35" t="n">
        <v>9</v>
      </c>
      <c r="M40" s="35" t="n">
        <v>8</v>
      </c>
      <c r="N40" s="35" t="n">
        <v>7</v>
      </c>
      <c r="O40" s="35" t="n">
        <v>8</v>
      </c>
      <c r="P40" s="35" t="n">
        <v>9</v>
      </c>
      <c r="Q40" s="35" t="n">
        <v>8</v>
      </c>
      <c r="R40" s="24" t="inlineStr">
        <is>
          <t>Y</t>
        </is>
      </c>
      <c r="S40" s="24" t="inlineStr">
        <is>
          <t>Annual follow-up: Would not have achieved ROI without partner support</t>
        </is>
      </c>
    </row>
    <row r="41" ht="15" customHeight="1">
      <c r="A41" s="20" t="inlineStr">
        <is>
          <t>SRV-037</t>
        </is>
      </c>
      <c r="B41" s="20" t="inlineStr">
        <is>
          <t>C010</t>
        </is>
      </c>
      <c r="C41" s="20" t="inlineStr">
        <is>
          <t>Vantage Tech</t>
        </is>
      </c>
      <c r="D41" s="20" t="inlineStr">
        <is>
          <t>P002</t>
        </is>
      </c>
      <c r="E41" s="20" t="inlineStr">
        <is>
          <t>CloudBridge Solutions</t>
        </is>
      </c>
      <c r="F41" s="20" t="inlineStr">
        <is>
          <t>Software / Integration</t>
        </is>
      </c>
      <c r="G41" s="20" t="inlineStr">
        <is>
          <t>ENG-085</t>
        </is>
      </c>
      <c r="H41" s="20" t="inlineStr">
        <is>
          <t>Advocacy</t>
        </is>
      </c>
      <c r="I41" s="21" t="n">
        <v>45148</v>
      </c>
      <c r="J41" s="20" t="inlineStr">
        <is>
          <t>VP Operations</t>
        </is>
      </c>
      <c r="K41" s="34" t="n">
        <v>5</v>
      </c>
      <c r="L41" s="34" t="n">
        <v>5</v>
      </c>
      <c r="M41" s="34" t="n">
        <v>4</v>
      </c>
      <c r="N41" s="34" t="n">
        <v>5</v>
      </c>
      <c r="O41" s="34" t="n">
        <v>5</v>
      </c>
      <c r="P41" s="34" t="n">
        <v>4</v>
      </c>
      <c r="Q41" s="34" t="n">
        <v>4</v>
      </c>
      <c r="R41" s="20" t="inlineStr">
        <is>
          <t>N</t>
        </is>
      </c>
      <c r="S41" s="20" t="inlineStr">
        <is>
          <t>Considering alternatives due to gaps in ecosystem</t>
        </is>
      </c>
    </row>
    <row r="42" ht="15" customHeight="1">
      <c r="A42" s="24" t="inlineStr">
        <is>
          <t>SRV-038</t>
        </is>
      </c>
      <c r="B42" s="24" t="inlineStr">
        <is>
          <t>C010</t>
        </is>
      </c>
      <c r="C42" s="24" t="inlineStr">
        <is>
          <t>Vantage Tech</t>
        </is>
      </c>
      <c r="D42" s="24" t="inlineStr">
        <is>
          <t>P012</t>
        </is>
      </c>
      <c r="E42" s="24" t="inlineStr">
        <is>
          <t>VeloCloud Tech</t>
        </is>
      </c>
      <c r="F42" s="24" t="inlineStr">
        <is>
          <t>Software / Integration</t>
        </is>
      </c>
      <c r="G42" s="24" t="inlineStr">
        <is>
          <t>ENG-081</t>
        </is>
      </c>
      <c r="H42" s="24" t="inlineStr">
        <is>
          <t>Adoption</t>
        </is>
      </c>
      <c r="I42" s="25" t="n">
        <v>44945</v>
      </c>
      <c r="J42" s="24" t="inlineStr">
        <is>
          <t>CFO</t>
        </is>
      </c>
      <c r="K42" s="35" t="n">
        <v>6</v>
      </c>
      <c r="L42" s="35" t="n">
        <v>5</v>
      </c>
      <c r="M42" s="35" t="n">
        <v>8</v>
      </c>
      <c r="N42" s="35" t="n">
        <v>8</v>
      </c>
      <c r="O42" s="35" t="n">
        <v>5</v>
      </c>
      <c r="P42" s="35" t="n">
        <v>6</v>
      </c>
      <c r="Q42" s="35" t="n">
        <v>5</v>
      </c>
      <c r="R42" s="24" t="inlineStr">
        <is>
          <t>Y</t>
        </is>
      </c>
      <c r="S42" s="24" t="inlineStr">
        <is>
          <t>Some capability gaps we had to fill ourselves</t>
        </is>
      </c>
    </row>
    <row r="43" ht="15" customHeight="1">
      <c r="A43" s="20" t="inlineStr">
        <is>
          <t>SRV-039</t>
        </is>
      </c>
      <c r="B43" s="20" t="inlineStr">
        <is>
          <t>C010</t>
        </is>
      </c>
      <c r="C43" s="20" t="inlineStr">
        <is>
          <t>Vantage Tech</t>
        </is>
      </c>
      <c r="D43" s="20" t="inlineStr">
        <is>
          <t>P005</t>
        </is>
      </c>
      <c r="E43" s="20" t="inlineStr">
        <is>
          <t>ManagedOps Pro</t>
        </is>
      </c>
      <c r="F43" s="20" t="inlineStr">
        <is>
          <t>Managed Services</t>
        </is>
      </c>
      <c r="G43" s="20" t="inlineStr">
        <is>
          <t>ENG-083</t>
        </is>
      </c>
      <c r="H43" s="20" t="inlineStr">
        <is>
          <t>Retention</t>
        </is>
      </c>
      <c r="I43" s="21" t="n">
        <v>45060</v>
      </c>
      <c r="J43" s="20" t="inlineStr">
        <is>
          <t>VP Operations</t>
        </is>
      </c>
      <c r="K43" s="34" t="n">
        <v>8</v>
      </c>
      <c r="L43" s="34" t="n">
        <v>7</v>
      </c>
      <c r="M43" s="34" t="n">
        <v>7</v>
      </c>
      <c r="N43" s="34" t="n">
        <v>8</v>
      </c>
      <c r="O43" s="34" t="n">
        <v>7</v>
      </c>
      <c r="P43" s="34" t="n">
        <v>5</v>
      </c>
      <c r="Q43" s="34" t="n">
        <v>4</v>
      </c>
      <c r="R43" s="20" t="inlineStr">
        <is>
          <t>Y</t>
        </is>
      </c>
      <c r="S43" s="20" t="inlineStr">
        <is>
          <t>Good initial work but follow-through could improve</t>
        </is>
      </c>
    </row>
    <row r="44" ht="23.25" customHeight="1">
      <c r="A44" s="24" t="inlineStr">
        <is>
          <t>SRV-040</t>
        </is>
      </c>
      <c r="B44" s="24" t="inlineStr">
        <is>
          <t>C010</t>
        </is>
      </c>
      <c r="C44" s="24" t="inlineStr">
        <is>
          <t>Vantage Tech</t>
        </is>
      </c>
      <c r="D44" s="24" t="inlineStr">
        <is>
          <t>P002</t>
        </is>
      </c>
      <c r="E44" s="24" t="inlineStr">
        <is>
          <t>CloudBridge Solutions</t>
        </is>
      </c>
      <c r="F44" s="24" t="inlineStr">
        <is>
          <t>Software / Integration</t>
        </is>
      </c>
      <c r="G44" s="24" t="inlineStr">
        <is>
          <t>ENG-079</t>
        </is>
      </c>
      <c r="H44" s="24" t="inlineStr">
        <is>
          <t>Acquisition</t>
        </is>
      </c>
      <c r="I44" s="25" t="n">
        <v>45216</v>
      </c>
      <c r="J44" s="24" t="inlineStr">
        <is>
          <t>CTO</t>
        </is>
      </c>
      <c r="K44" s="35" t="n">
        <v>4</v>
      </c>
      <c r="L44" s="35" t="n">
        <v>2</v>
      </c>
      <c r="M44" s="35" t="n">
        <v>3</v>
      </c>
      <c r="N44" s="35" t="n">
        <v>4</v>
      </c>
      <c r="O44" s="35" t="n">
        <v>2</v>
      </c>
      <c r="P44" s="35" t="n">
        <v>4</v>
      </c>
      <c r="Q44" s="35" t="n">
        <v>2</v>
      </c>
      <c r="R44" s="24" t="inlineStr">
        <is>
          <t>N</t>
        </is>
      </c>
      <c r="S44" s="24" t="inlineStr">
        <is>
          <t>Annual follow-up: Lack of ongoing support is concerning</t>
        </is>
      </c>
    </row>
    <row r="45" ht="15" customHeight="1">
      <c r="A45" s="20" t="inlineStr">
        <is>
          <t>SRV-041</t>
        </is>
      </c>
      <c r="B45" s="20" t="inlineStr">
        <is>
          <t>C011</t>
        </is>
      </c>
      <c r="C45" s="20" t="inlineStr">
        <is>
          <t>Horizon Pharma</t>
        </is>
      </c>
      <c r="D45" s="20" t="inlineStr">
        <is>
          <t>P011</t>
        </is>
      </c>
      <c r="E45" s="20" t="inlineStr">
        <is>
          <t>TrueNorth Advisory</t>
        </is>
      </c>
      <c r="F45" s="20" t="inlineStr">
        <is>
          <t>Advisory / Consulting</t>
        </is>
      </c>
      <c r="G45" s="20" t="inlineStr">
        <is>
          <t>ENG-092</t>
        </is>
      </c>
      <c r="H45" s="20" t="inlineStr">
        <is>
          <t>Advocacy</t>
        </is>
      </c>
      <c r="I45" s="21" t="n">
        <v>45193</v>
      </c>
      <c r="J45" s="20" t="inlineStr">
        <is>
          <t>CTO</t>
        </is>
      </c>
      <c r="K45" s="34" t="n">
        <v>10</v>
      </c>
      <c r="L45" s="34" t="n">
        <v>9</v>
      </c>
      <c r="M45" s="34" t="n">
        <v>10</v>
      </c>
      <c r="N45" s="34" t="n">
        <v>7</v>
      </c>
      <c r="O45" s="34" t="n">
        <v>7</v>
      </c>
      <c r="P45" s="34" t="n">
        <v>8</v>
      </c>
      <c r="Q45" s="34" t="n">
        <v>10</v>
      </c>
      <c r="R45" s="20" t="inlineStr">
        <is>
          <t>Y</t>
        </is>
      </c>
      <c r="S45" s="20" t="inlineStr">
        <is>
          <t>Implementation was smooth and well-managed</t>
        </is>
      </c>
    </row>
    <row r="46" ht="15" customHeight="1">
      <c r="A46" s="24" t="inlineStr">
        <is>
          <t>SRV-042</t>
        </is>
      </c>
      <c r="B46" s="24" t="inlineStr">
        <is>
          <t>C011</t>
        </is>
      </c>
      <c r="C46" s="24" t="inlineStr">
        <is>
          <t>Horizon Pharma</t>
        </is>
      </c>
      <c r="D46" s="24" t="inlineStr">
        <is>
          <t>P003</t>
        </is>
      </c>
      <c r="E46" s="24" t="inlineStr">
        <is>
          <t>DataForce Services</t>
        </is>
      </c>
      <c r="F46" s="24" t="inlineStr">
        <is>
          <t>Delivery</t>
        </is>
      </c>
      <c r="G46" s="24" t="inlineStr">
        <is>
          <t>ENG-088</t>
        </is>
      </c>
      <c r="H46" s="24" t="inlineStr">
        <is>
          <t>Adoption</t>
        </is>
      </c>
      <c r="I46" s="25" t="n">
        <v>44968</v>
      </c>
      <c r="J46" s="24" t="inlineStr">
        <is>
          <t>COO</t>
        </is>
      </c>
      <c r="K46" s="35" t="n">
        <v>8</v>
      </c>
      <c r="L46" s="35" t="n">
        <v>7</v>
      </c>
      <c r="M46" s="35" t="n">
        <v>7</v>
      </c>
      <c r="N46" s="35" t="n">
        <v>7</v>
      </c>
      <c r="O46" s="35" t="n">
        <v>5</v>
      </c>
      <c r="P46" s="35" t="n">
        <v>4</v>
      </c>
      <c r="Q46" s="35" t="n">
        <v>5</v>
      </c>
      <c r="R46" s="24" t="inlineStr">
        <is>
          <t>Y</t>
        </is>
      </c>
      <c r="S46" s="24" t="inlineStr">
        <is>
          <t>Some capability gaps we had to fill ourselves</t>
        </is>
      </c>
    </row>
    <row r="47" ht="23.25" customHeight="1">
      <c r="A47" s="20" t="inlineStr">
        <is>
          <t>SRV-043</t>
        </is>
      </c>
      <c r="B47" s="20" t="inlineStr">
        <is>
          <t>C011</t>
        </is>
      </c>
      <c r="C47" s="20" t="inlineStr">
        <is>
          <t>Horizon Pharma</t>
        </is>
      </c>
      <c r="D47" s="20" t="inlineStr">
        <is>
          <t>P009</t>
        </is>
      </c>
      <c r="E47" s="20" t="inlineStr">
        <is>
          <t>Northstar Advisory</t>
        </is>
      </c>
      <c r="F47" s="20" t="inlineStr">
        <is>
          <t>Embedded Advisor</t>
        </is>
      </c>
      <c r="G47" s="20" t="inlineStr">
        <is>
          <t>ENG-095</t>
        </is>
      </c>
      <c r="H47" s="20" t="inlineStr">
        <is>
          <t>Expansion</t>
        </is>
      </c>
      <c r="I47" s="21" t="n">
        <v>45259</v>
      </c>
      <c r="J47" s="20" t="inlineStr">
        <is>
          <t>CIO</t>
        </is>
      </c>
      <c r="K47" s="34" t="n">
        <v>8</v>
      </c>
      <c r="L47" s="34" t="n">
        <v>10</v>
      </c>
      <c r="M47" s="34" t="n">
        <v>8</v>
      </c>
      <c r="N47" s="34" t="n">
        <v>9</v>
      </c>
      <c r="O47" s="34" t="n">
        <v>8</v>
      </c>
      <c r="P47" s="34" t="n">
        <v>9</v>
      </c>
      <c r="Q47" s="34" t="n">
        <v>10</v>
      </c>
      <c r="R47" s="20" t="inlineStr">
        <is>
          <t>Y</t>
        </is>
      </c>
      <c r="S47" s="20" t="inlineStr">
        <is>
          <t>Would not have achieved ROI without partner support</t>
        </is>
      </c>
    </row>
    <row r="48" ht="23.25" customHeight="1">
      <c r="A48" s="24" t="inlineStr">
        <is>
          <t>SRV-044</t>
        </is>
      </c>
      <c r="B48" s="24" t="inlineStr">
        <is>
          <t>C011</t>
        </is>
      </c>
      <c r="C48" s="24" t="inlineStr">
        <is>
          <t>Horizon Pharma</t>
        </is>
      </c>
      <c r="D48" s="24" t="inlineStr">
        <is>
          <t>P011</t>
        </is>
      </c>
      <c r="E48" s="24" t="inlineStr">
        <is>
          <t>TrueNorth Advisory</t>
        </is>
      </c>
      <c r="F48" s="24" t="inlineStr">
        <is>
          <t>Advisory / Consulting</t>
        </is>
      </c>
      <c r="G48" s="24" t="inlineStr">
        <is>
          <t>ENG-086</t>
        </is>
      </c>
      <c r="H48" s="24" t="inlineStr">
        <is>
          <t>Acquisition</t>
        </is>
      </c>
      <c r="I48" s="25" t="n">
        <v>45253</v>
      </c>
      <c r="J48" s="24" t="inlineStr">
        <is>
          <t>COO</t>
        </is>
      </c>
      <c r="K48" s="35" t="n">
        <v>8</v>
      </c>
      <c r="L48" s="35" t="n">
        <v>8</v>
      </c>
      <c r="M48" s="35" t="n">
        <v>8</v>
      </c>
      <c r="N48" s="35" t="n">
        <v>7</v>
      </c>
      <c r="O48" s="35" t="n">
        <v>8</v>
      </c>
      <c r="P48" s="35" t="n">
        <v>8</v>
      </c>
      <c r="Q48" s="35" t="n">
        <v>8</v>
      </c>
      <c r="R48" s="24" t="inlineStr">
        <is>
          <t>Y</t>
        </is>
      </c>
      <c r="S48" s="24" t="inlineStr">
        <is>
          <t>Annual follow-up: Strong technical depth from partner team</t>
        </is>
      </c>
    </row>
    <row r="49" ht="15" customHeight="1">
      <c r="A49" s="20" t="inlineStr">
        <is>
          <t>SRV-045</t>
        </is>
      </c>
      <c r="B49" s="20" t="inlineStr">
        <is>
          <t>C012</t>
        </is>
      </c>
      <c r="C49" s="20" t="inlineStr">
        <is>
          <t>Keystone Bank</t>
        </is>
      </c>
      <c r="D49" s="20" t="inlineStr">
        <is>
          <t>P007</t>
        </is>
      </c>
      <c r="E49" s="20" t="inlineStr">
        <is>
          <t>PrimeAdvisory Group</t>
        </is>
      </c>
      <c r="F49" s="20" t="inlineStr">
        <is>
          <t>Advisory / Consulting</t>
        </is>
      </c>
      <c r="G49" s="20" t="inlineStr">
        <is>
          <t>ENG-102</t>
        </is>
      </c>
      <c r="H49" s="20" t="inlineStr">
        <is>
          <t>Advocacy</t>
        </is>
      </c>
      <c r="I49" s="21" t="n">
        <v>45220</v>
      </c>
      <c r="J49" s="20" t="inlineStr">
        <is>
          <t>CFO</t>
        </is>
      </c>
      <c r="K49" s="34" t="n">
        <v>4</v>
      </c>
      <c r="L49" s="34" t="n">
        <v>3</v>
      </c>
      <c r="M49" s="34" t="n">
        <v>6</v>
      </c>
      <c r="N49" s="34" t="n">
        <v>3</v>
      </c>
      <c r="O49" s="34" t="n">
        <v>4</v>
      </c>
      <c r="P49" s="34" t="n">
        <v>2</v>
      </c>
      <c r="Q49" s="34" t="n">
        <v>3</v>
      </c>
      <c r="R49" s="20" t="inlineStr">
        <is>
          <t>N</t>
        </is>
      </c>
      <c r="S49" s="20" t="inlineStr">
        <is>
          <t>Had to source compliance support externally</t>
        </is>
      </c>
    </row>
    <row r="50" ht="15" customHeight="1">
      <c r="A50" s="24" t="inlineStr">
        <is>
          <t>SRV-046</t>
        </is>
      </c>
      <c r="B50" s="24" t="inlineStr">
        <is>
          <t>C012</t>
        </is>
      </c>
      <c r="C50" s="24" t="inlineStr">
        <is>
          <t>Keystone Bank</t>
        </is>
      </c>
      <c r="D50" s="24" t="inlineStr">
        <is>
          <t>P008</t>
        </is>
      </c>
      <c r="E50" s="24" t="inlineStr">
        <is>
          <t>RapidDeploy Inc</t>
        </is>
      </c>
      <c r="F50" s="24" t="inlineStr">
        <is>
          <t>Delivery</t>
        </is>
      </c>
      <c r="G50" s="24" t="inlineStr">
        <is>
          <t>ENG-098</t>
        </is>
      </c>
      <c r="H50" s="24" t="inlineStr">
        <is>
          <t>Adoption</t>
        </is>
      </c>
      <c r="I50" s="25" t="n">
        <v>45021</v>
      </c>
      <c r="J50" s="24" t="inlineStr">
        <is>
          <t>CIO</t>
        </is>
      </c>
      <c r="K50" s="35" t="n">
        <v>4</v>
      </c>
      <c r="L50" s="35" t="n">
        <v>4</v>
      </c>
      <c r="M50" s="35" t="n">
        <v>5</v>
      </c>
      <c r="N50" s="35" t="n">
        <v>3</v>
      </c>
      <c r="O50" s="35" t="n">
        <v>3</v>
      </c>
      <c r="P50" s="35" t="n">
        <v>4</v>
      </c>
      <c r="Q50" s="35" t="n">
        <v>2</v>
      </c>
      <c r="R50" s="24" t="inlineStr">
        <is>
          <t>N</t>
        </is>
      </c>
      <c r="S50" s="24" t="inlineStr">
        <is>
          <t>Lack of ongoing support is concerning</t>
        </is>
      </c>
    </row>
    <row r="51" ht="15" customHeight="1">
      <c r="A51" s="20" t="inlineStr">
        <is>
          <t>SRV-047</t>
        </is>
      </c>
      <c r="B51" s="20" t="inlineStr">
        <is>
          <t>C012</t>
        </is>
      </c>
      <c r="C51" s="20" t="inlineStr">
        <is>
          <t>Keystone Bank</t>
        </is>
      </c>
      <c r="D51" s="20" t="inlineStr">
        <is>
          <t>P010</t>
        </is>
      </c>
      <c r="E51" s="20" t="inlineStr">
        <is>
          <t>SkillForge Academy</t>
        </is>
      </c>
      <c r="F51" s="20" t="inlineStr">
        <is>
          <t>Training</t>
        </is>
      </c>
      <c r="G51" s="20" t="inlineStr">
        <is>
          <t>ENG-100</t>
        </is>
      </c>
      <c r="H51" s="20" t="inlineStr">
        <is>
          <t>Retention</t>
        </is>
      </c>
      <c r="I51" s="21" t="n">
        <v>45126</v>
      </c>
      <c r="J51" s="20" t="inlineStr">
        <is>
          <t>COO</t>
        </is>
      </c>
      <c r="K51" s="34" t="n">
        <v>3</v>
      </c>
      <c r="L51" s="34" t="n">
        <v>4</v>
      </c>
      <c r="M51" s="34" t="n">
        <v>5</v>
      </c>
      <c r="N51" s="34" t="n">
        <v>6</v>
      </c>
      <c r="O51" s="34" t="n">
        <v>5</v>
      </c>
      <c r="P51" s="34" t="n">
        <v>3</v>
      </c>
      <c r="Q51" s="34" t="n">
        <v>4</v>
      </c>
      <c r="R51" s="20" t="inlineStr">
        <is>
          <t>N</t>
        </is>
      </c>
      <c r="S51" s="20" t="inlineStr">
        <is>
          <t>Implementation delays caused business disruption</t>
        </is>
      </c>
    </row>
    <row r="52" ht="15" customHeight="1">
      <c r="A52" s="24" t="inlineStr">
        <is>
          <t>SRV-048</t>
        </is>
      </c>
      <c r="B52" s="24" t="inlineStr">
        <is>
          <t>C012</t>
        </is>
      </c>
      <c r="C52" s="24" t="inlineStr">
        <is>
          <t>Keystone Bank</t>
        </is>
      </c>
      <c r="D52" s="24" t="inlineStr">
        <is>
          <t>P007</t>
        </is>
      </c>
      <c r="E52" s="24" t="inlineStr">
        <is>
          <t>PrimeAdvisory Group</t>
        </is>
      </c>
      <c r="F52" s="24" t="inlineStr">
        <is>
          <t>Advisory / Consulting</t>
        </is>
      </c>
      <c r="G52" s="24" t="inlineStr">
        <is>
          <t>ENG-096</t>
        </is>
      </c>
      <c r="H52" s="24" t="inlineStr">
        <is>
          <t>Acquisition</t>
        </is>
      </c>
      <c r="I52" s="25" t="n">
        <v>45206</v>
      </c>
      <c r="J52" s="24" t="inlineStr">
        <is>
          <t>CIO</t>
        </is>
      </c>
      <c r="K52" s="35" t="n">
        <v>4</v>
      </c>
      <c r="L52" s="35" t="n">
        <v>2</v>
      </c>
      <c r="M52" s="35" t="n">
        <v>5</v>
      </c>
      <c r="N52" s="35" t="n">
        <v>4</v>
      </c>
      <c r="O52" s="35" t="n">
        <v>2</v>
      </c>
      <c r="P52" s="35" t="n">
        <v>2</v>
      </c>
      <c r="Q52" s="35" t="n">
        <v>3</v>
      </c>
      <c r="R52" s="24" t="inlineStr">
        <is>
          <t>N</t>
        </is>
      </c>
      <c r="S52" s="24" t="inlineStr">
        <is>
          <t>Annual follow-up: Partner disappeared after go-live</t>
        </is>
      </c>
    </row>
    <row r="54" ht="15" customHeight="1">
      <c r="A54" s="91" t="inlineStr">
        <is>
          <t>Survey Summary by Partner</t>
        </is>
      </c>
    </row>
    <row r="55" ht="26.25" customHeight="1">
      <c r="A55" s="5" t="inlineStr">
        <is>
          <t>Partner ID</t>
        </is>
      </c>
      <c r="B55" s="5" t="inlineStr">
        <is>
          <t>Partner Name</t>
        </is>
      </c>
      <c r="C55" s="5" t="inlineStr">
        <is>
          <t>Partner Type</t>
        </is>
      </c>
      <c r="D55" s="5" t="inlineStr">
        <is>
          <t>Surveys Received</t>
        </is>
      </c>
      <c r="E55" s="5" t="inlineStr">
        <is>
          <t>Avg NPS</t>
        </is>
      </c>
      <c r="F55" s="5" t="inlineStr">
        <is>
          <t>Avg Partner Satisfaction</t>
        </is>
      </c>
      <c r="G55" s="5" t="inlineStr">
        <is>
          <t>Recommend Rate</t>
        </is>
      </c>
    </row>
    <row r="56" ht="15" customHeight="1">
      <c r="A56" s="98" t="inlineStr">
        <is>
          <t>P001</t>
        </is>
      </c>
      <c r="B56" s="98" t="inlineStr">
        <is>
          <t>Apex Consulting</t>
        </is>
      </c>
      <c r="C56" s="98" t="inlineStr">
        <is>
          <t>Advisory / Consulting</t>
        </is>
      </c>
      <c r="D56" s="9">
        <f>COUNTIF(D$5:D$52,A56)</f>
        <v/>
      </c>
      <c r="E56" s="44">
        <f>IFERROR(AVERAGEIF(D$5:D$52,A56,K$5:K$52),0)</f>
        <v/>
      </c>
      <c r="F56" s="44">
        <f>IFERROR(AVERAGEIF(D$5:D$52,A56,L$5:L$52),0)</f>
        <v/>
      </c>
      <c r="G56" s="10">
        <f>IFERROR(COUNTIFS(D$5:D$52,A56,R$5:R$52,"Y")/COUNTIF(D$5:D$52,A56),0)</f>
        <v/>
      </c>
    </row>
    <row r="57" ht="15" customHeight="1">
      <c r="A57" s="98" t="inlineStr">
        <is>
          <t>P003</t>
        </is>
      </c>
      <c r="B57" s="98" t="inlineStr">
        <is>
          <t>DataForce Services</t>
        </is>
      </c>
      <c r="C57" s="98" t="inlineStr">
        <is>
          <t>Delivery</t>
        </is>
      </c>
      <c r="D57" s="9">
        <f>COUNTIF(D$5:D$52,A57)</f>
        <v/>
      </c>
      <c r="E57" s="44">
        <f>IFERROR(AVERAGEIF(D$5:D$52,A57,K$5:K$52),0)</f>
        <v/>
      </c>
      <c r="F57" s="44">
        <f>IFERROR(AVERAGEIF(D$5:D$52,A57,L$5:L$52),0)</f>
        <v/>
      </c>
      <c r="G57" s="10">
        <f>IFERROR(COUNTIFS(D$5:D$52,A57,R$5:R$52,"Y")/COUNTIF(D$5:D$52,A57),0)</f>
        <v/>
      </c>
    </row>
    <row r="58" ht="15" customHeight="1">
      <c r="A58" s="98" t="inlineStr">
        <is>
          <t>P009</t>
        </is>
      </c>
      <c r="B58" s="98" t="inlineStr">
        <is>
          <t>ScaleUp Managed</t>
        </is>
      </c>
      <c r="C58" s="98" t="inlineStr">
        <is>
          <t>Managed Services</t>
        </is>
      </c>
      <c r="D58" s="9">
        <f>COUNTIF(D$5:D$52,A58)</f>
        <v/>
      </c>
      <c r="E58" s="44">
        <f>IFERROR(AVERAGEIF(D$5:D$52,A58,K$5:K$52),0)</f>
        <v/>
      </c>
      <c r="F58" s="44">
        <f>IFERROR(AVERAGEIF(D$5:D$52,A58,L$5:L$52),0)</f>
        <v/>
      </c>
      <c r="G58" s="10">
        <f>IFERROR(COUNTIFS(D$5:D$52,A58,R$5:R$52,"Y")/COUNTIF(D$5:D$52,A58),0)</f>
        <v/>
      </c>
    </row>
    <row r="59" ht="15" customHeight="1">
      <c r="A59" s="98" t="inlineStr">
        <is>
          <t>P011</t>
        </is>
      </c>
      <c r="B59" s="98" t="inlineStr">
        <is>
          <t>TrueNorth Advisory</t>
        </is>
      </c>
      <c r="C59" s="98" t="inlineStr">
        <is>
          <t>Advisory / Consulting</t>
        </is>
      </c>
      <c r="D59" s="9">
        <f>COUNTIF(D$5:D$52,A59)</f>
        <v/>
      </c>
      <c r="E59" s="44">
        <f>IFERROR(AVERAGEIF(D$5:D$52,A59,K$5:K$52),0)</f>
        <v/>
      </c>
      <c r="F59" s="44">
        <f>IFERROR(AVERAGEIF(D$5:D$52,A59,L$5:L$52),0)</f>
        <v/>
      </c>
      <c r="G59" s="10">
        <f>IFERROR(COUNTIFS(D$5:D$52,A59,R$5:R$52,"Y")/COUNTIF(D$5:D$52,A59),0)</f>
        <v/>
      </c>
    </row>
    <row r="60" ht="15" customHeight="1">
      <c r="A60" s="98" t="inlineStr">
        <is>
          <t>P005</t>
        </is>
      </c>
      <c r="B60" s="98" t="inlineStr">
        <is>
          <t>ManagedOps Pro</t>
        </is>
      </c>
      <c r="C60" s="98" t="inlineStr">
        <is>
          <t>Managed Services</t>
        </is>
      </c>
      <c r="D60" s="9">
        <f>COUNTIF(D$5:D$52,A60)</f>
        <v/>
      </c>
      <c r="E60" s="44">
        <f>IFERROR(AVERAGEIF(D$5:D$52,A60,K$5:K$52),0)</f>
        <v/>
      </c>
      <c r="F60" s="44">
        <f>IFERROR(AVERAGEIF(D$5:D$52,A60,L$5:L$52),0)</f>
        <v/>
      </c>
      <c r="G60" s="10">
        <f>IFERROR(COUNTIFS(D$5:D$52,A60,R$5:R$52,"Y")/COUNTIF(D$5:D$52,A60),0)</f>
        <v/>
      </c>
    </row>
    <row r="61" ht="15" customHeight="1">
      <c r="A61" s="98" t="inlineStr">
        <is>
          <t>P007</t>
        </is>
      </c>
      <c r="B61" s="98" t="inlineStr">
        <is>
          <t>PrimeAdvisory Group</t>
        </is>
      </c>
      <c r="C61" s="98" t="inlineStr">
        <is>
          <t>Advisory / Consulting</t>
        </is>
      </c>
      <c r="D61" s="9">
        <f>COUNTIF(D$5:D$52,A61)</f>
        <v/>
      </c>
      <c r="E61" s="44">
        <f>IFERROR(AVERAGEIF(D$5:D$52,A61,K$5:K$52),0)</f>
        <v/>
      </c>
      <c r="F61" s="44">
        <f>IFERROR(AVERAGEIF(D$5:D$52,A61,L$5:L$52),0)</f>
        <v/>
      </c>
      <c r="G61" s="10">
        <f>IFERROR(COUNTIFS(D$5:D$52,A61,R$5:R$52,"Y")/COUNTIF(D$5:D$52,A61),0)</f>
        <v/>
      </c>
    </row>
    <row r="62" ht="15" customHeight="1">
      <c r="A62" s="98" t="inlineStr">
        <is>
          <t>P008</t>
        </is>
      </c>
      <c r="B62" s="98" t="inlineStr">
        <is>
          <t>RapidDeploy Inc</t>
        </is>
      </c>
      <c r="C62" s="98" t="inlineStr">
        <is>
          <t>Delivery</t>
        </is>
      </c>
      <c r="D62" s="9">
        <f>COUNTIF(D$5:D$52,A62)</f>
        <v/>
      </c>
      <c r="E62" s="44">
        <f>IFERROR(AVERAGEIF(D$5:D$52,A62,K$5:K$52),0)</f>
        <v/>
      </c>
      <c r="F62" s="44">
        <f>IFERROR(AVERAGEIF(D$5:D$52,A62,L$5:L$52),0)</f>
        <v/>
      </c>
      <c r="G62" s="10">
        <f>IFERROR(COUNTIFS(D$5:D$52,A62,R$5:R$52,"Y")/COUNTIF(D$5:D$52,A62),0)</f>
        <v/>
      </c>
    </row>
    <row r="63" ht="15" customHeight="1">
      <c r="A63" s="98" t="inlineStr">
        <is>
          <t>P006</t>
        </is>
      </c>
      <c r="B63" s="98" t="inlineStr">
        <is>
          <t>NexGen Integrators</t>
        </is>
      </c>
      <c r="C63" s="98" t="inlineStr">
        <is>
          <t>Software / Integration</t>
        </is>
      </c>
      <c r="D63" s="9">
        <f>COUNTIF(D$5:D$52,A63)</f>
        <v/>
      </c>
      <c r="E63" s="44">
        <f>IFERROR(AVERAGEIF(D$5:D$52,A63,K$5:K$52),0)</f>
        <v/>
      </c>
      <c r="F63" s="44">
        <f>IFERROR(AVERAGEIF(D$5:D$52,A63,L$5:L$52),0)</f>
        <v/>
      </c>
      <c r="G63" s="10">
        <f>IFERROR(COUNTIFS(D$5:D$52,A63,R$5:R$52,"Y")/COUNTIF(D$5:D$52,A63),0)</f>
        <v/>
      </c>
    </row>
    <row r="64" ht="15" customHeight="1">
      <c r="A64" s="98" t="inlineStr">
        <is>
          <t>P002</t>
        </is>
      </c>
      <c r="B64" s="98" t="inlineStr">
        <is>
          <t>CloudBridge Solutions</t>
        </is>
      </c>
      <c r="C64" s="98" t="inlineStr">
        <is>
          <t>Software / Integration</t>
        </is>
      </c>
      <c r="D64" s="9">
        <f>COUNTIF(D$5:D$52,A64)</f>
        <v/>
      </c>
      <c r="E64" s="44">
        <f>IFERROR(AVERAGEIF(D$5:D$52,A64,K$5:K$52),0)</f>
        <v/>
      </c>
      <c r="F64" s="44">
        <f>IFERROR(AVERAGEIF(D$5:D$52,A64,L$5:L$52),0)</f>
        <v/>
      </c>
      <c r="G64" s="10">
        <f>IFERROR(COUNTIFS(D$5:D$52,A64,R$5:R$52,"Y")/COUNTIF(D$5:D$52,A64),0)</f>
        <v/>
      </c>
    </row>
    <row r="65" ht="15" customHeight="1">
      <c r="A65" s="98" t="inlineStr">
        <is>
          <t>P004</t>
        </is>
      </c>
      <c r="B65" s="98" t="inlineStr">
        <is>
          <t>EduTech Partners</t>
        </is>
      </c>
      <c r="C65" s="98" t="inlineStr">
        <is>
          <t>Training</t>
        </is>
      </c>
      <c r="D65" s="9">
        <f>COUNTIF(D$5:D$52,A65)</f>
        <v/>
      </c>
      <c r="E65" s="44">
        <f>IFERROR(AVERAGEIF(D$5:D$52,A65,K$5:K$52),0)</f>
        <v/>
      </c>
      <c r="F65" s="44">
        <f>IFERROR(AVERAGEIF(D$5:D$52,A65,L$5:L$52),0)</f>
        <v/>
      </c>
      <c r="G65" s="10">
        <f>IFERROR(COUNTIFS(D$5:D$52,A65,R$5:R$52,"Y")/COUNTIF(D$5:D$52,A65),0)</f>
        <v/>
      </c>
    </row>
    <row r="66" ht="15" customHeight="1">
      <c r="A66" s="98" t="inlineStr">
        <is>
          <t>P010</t>
        </is>
      </c>
      <c r="B66" s="98" t="inlineStr">
        <is>
          <t>SkillForge Academy</t>
        </is>
      </c>
      <c r="C66" s="98" t="inlineStr">
        <is>
          <t>Training</t>
        </is>
      </c>
      <c r="D66" s="9">
        <f>COUNTIF(D$5:D$52,A66)</f>
        <v/>
      </c>
      <c r="E66" s="44">
        <f>IFERROR(AVERAGEIF(D$5:D$52,A66,K$5:K$52),0)</f>
        <v/>
      </c>
      <c r="F66" s="44">
        <f>IFERROR(AVERAGEIF(D$5:D$52,A66,L$5:L$52),0)</f>
        <v/>
      </c>
      <c r="G66" s="10">
        <f>IFERROR(COUNTIFS(D$5:D$52,A66,R$5:R$52,"Y")/COUNTIF(D$5:D$52,A66),0)</f>
        <v/>
      </c>
    </row>
    <row r="67" ht="15" customHeight="1">
      <c r="A67" s="98" t="inlineStr">
        <is>
          <t>P012</t>
        </is>
      </c>
      <c r="B67" s="98" t="inlineStr">
        <is>
          <t>VeloCloud Tech</t>
        </is>
      </c>
      <c r="C67" s="98" t="inlineStr">
        <is>
          <t>Software / Integration</t>
        </is>
      </c>
      <c r="D67" s="9">
        <f>COUNTIF(D$5:D$52,A67)</f>
        <v/>
      </c>
      <c r="E67" s="44">
        <f>IFERROR(AVERAGEIF(D$5:D$52,A67,K$5:K$52),0)</f>
        <v/>
      </c>
      <c r="F67" s="44">
        <f>IFERROR(AVERAGEIF(D$5:D$52,A67,L$5:L$52),0)</f>
        <v/>
      </c>
      <c r="G67" s="10">
        <f>IFERROR(COUNTIFS(D$5:D$52,A67,R$5:R$52,"Y")/COUNTIF(D$5:D$52,A67),0)</f>
        <v/>
      </c>
    </row>
    <row r="69" ht="15" customHeight="1">
      <c r="A69" s="91" t="inlineStr">
        <is>
          <t>Survey Summary by Customer (All Partners)</t>
        </is>
      </c>
    </row>
    <row r="70" ht="26.25" customHeight="1">
      <c r="A70" s="5" t="inlineStr">
        <is>
          <t>Customer ID</t>
        </is>
      </c>
      <c r="B70" s="5" t="inlineStr">
        <is>
          <t>Customer Name</t>
        </is>
      </c>
      <c r="C70" s="5" t="inlineStr">
        <is>
          <t>Partners Surveyed</t>
        </is>
      </c>
      <c r="D70" s="5" t="inlineStr">
        <is>
          <t>Avg NPS</t>
        </is>
      </c>
      <c r="E70" s="5" t="inlineStr">
        <is>
          <t>Avg Partner Sat.</t>
        </is>
      </c>
      <c r="F70" s="5" t="inlineStr">
        <is>
          <t>Avg Impl. Quality</t>
        </is>
      </c>
      <c r="G70" s="5" t="inlineStr">
        <is>
          <t>Recommend Rate</t>
        </is>
      </c>
    </row>
    <row r="71" ht="15" customHeight="1">
      <c r="A71" s="98" t="inlineStr">
        <is>
          <t>C001</t>
        </is>
      </c>
      <c r="B71" s="98" t="inlineStr">
        <is>
          <t>Meridian Healthcare</t>
        </is>
      </c>
      <c r="C71" s="9">
        <f>COUNTIF(B$5:B$52,A71)</f>
        <v/>
      </c>
      <c r="D71" s="44">
        <f>IFERROR(AVERAGEIF(B$5:B$52,A71,K$5:K$52),0)</f>
        <v/>
      </c>
      <c r="E71" s="44">
        <f>IFERROR(AVERAGEIF(B$5:B$52,A71,L$5:L$52),0)</f>
        <v/>
      </c>
      <c r="F71" s="44">
        <f>IFERROR(AVERAGEIF(B$5:B$52,A71,M$5:M$52),0)</f>
        <v/>
      </c>
      <c r="G71" s="10">
        <f>IFERROR(COUNTIFS(B$5:B$52,A71,R$5:R$52,"Y")/COUNTIF(B$5:B$52,A71),0)</f>
        <v/>
      </c>
    </row>
    <row r="72" ht="15" customHeight="1">
      <c r="A72" s="98" t="inlineStr">
        <is>
          <t>C002</t>
        </is>
      </c>
      <c r="B72" s="98" t="inlineStr">
        <is>
          <t>Atlas Financial</t>
        </is>
      </c>
      <c r="C72" s="9">
        <f>COUNTIF(B$5:B$52,A72)</f>
        <v/>
      </c>
      <c r="D72" s="44">
        <f>IFERROR(AVERAGEIF(B$5:B$52,A72,K$5:K$52),0)</f>
        <v/>
      </c>
      <c r="E72" s="44">
        <f>IFERROR(AVERAGEIF(B$5:B$52,A72,L$5:L$52),0)</f>
        <v/>
      </c>
      <c r="F72" s="44">
        <f>IFERROR(AVERAGEIF(B$5:B$52,A72,M$5:M$52),0)</f>
        <v/>
      </c>
      <c r="G72" s="10">
        <f>IFERROR(COUNTIFS(B$5:B$52,A72,R$5:R$52,"Y")/COUNTIF(B$5:B$52,A72),0)</f>
        <v/>
      </c>
    </row>
    <row r="73" ht="15" customHeight="1">
      <c r="A73" s="98" t="inlineStr">
        <is>
          <t>C003</t>
        </is>
      </c>
      <c r="B73" s="98" t="inlineStr">
        <is>
          <t>Pinnacle Retail</t>
        </is>
      </c>
      <c r="C73" s="9">
        <f>COUNTIF(B$5:B$52,A73)</f>
        <v/>
      </c>
      <c r="D73" s="44">
        <f>IFERROR(AVERAGEIF(B$5:B$52,A73,K$5:K$52),0)</f>
        <v/>
      </c>
      <c r="E73" s="44">
        <f>IFERROR(AVERAGEIF(B$5:B$52,A73,L$5:L$52),0)</f>
        <v/>
      </c>
      <c r="F73" s="44">
        <f>IFERROR(AVERAGEIF(B$5:B$52,A73,M$5:M$52),0)</f>
        <v/>
      </c>
      <c r="G73" s="10">
        <f>IFERROR(COUNTIFS(B$5:B$52,A73,R$5:R$52,"Y")/COUNTIF(B$5:B$52,A73),0)</f>
        <v/>
      </c>
    </row>
    <row r="74" ht="15" customHeight="1">
      <c r="A74" s="98" t="inlineStr">
        <is>
          <t>C004</t>
        </is>
      </c>
      <c r="B74" s="98" t="inlineStr">
        <is>
          <t>Orion Manufacturing</t>
        </is>
      </c>
      <c r="C74" s="9">
        <f>COUNTIF(B$5:B$52,A74)</f>
        <v/>
      </c>
      <c r="D74" s="44">
        <f>IFERROR(AVERAGEIF(B$5:B$52,A74,K$5:K$52),0)</f>
        <v/>
      </c>
      <c r="E74" s="44">
        <f>IFERROR(AVERAGEIF(B$5:B$52,A74,L$5:L$52),0)</f>
        <v/>
      </c>
      <c r="F74" s="44">
        <f>IFERROR(AVERAGEIF(B$5:B$52,A74,M$5:M$52),0)</f>
        <v/>
      </c>
      <c r="G74" s="10">
        <f>IFERROR(COUNTIFS(B$5:B$52,A74,R$5:R$52,"Y")/COUNTIF(B$5:B$52,A74),0)</f>
        <v/>
      </c>
    </row>
    <row r="75" ht="15" customHeight="1">
      <c r="A75" s="98" t="inlineStr">
        <is>
          <t>C005</t>
        </is>
      </c>
      <c r="B75" s="98" t="inlineStr">
        <is>
          <t>Zenith Logistics</t>
        </is>
      </c>
      <c r="C75" s="9">
        <f>COUNTIF(B$5:B$52,A75)</f>
        <v/>
      </c>
      <c r="D75" s="44">
        <f>IFERROR(AVERAGEIF(B$5:B$52,A75,K$5:K$52),0)</f>
        <v/>
      </c>
      <c r="E75" s="44">
        <f>IFERROR(AVERAGEIF(B$5:B$52,A75,L$5:L$52),0)</f>
        <v/>
      </c>
      <c r="F75" s="44">
        <f>IFERROR(AVERAGEIF(B$5:B$52,A75,M$5:M$52),0)</f>
        <v/>
      </c>
      <c r="G75" s="10">
        <f>IFERROR(COUNTIFS(B$5:B$52,A75,R$5:R$52,"Y")/COUNTIF(B$5:B$52,A75),0)</f>
        <v/>
      </c>
    </row>
    <row r="76" ht="15" customHeight="1">
      <c r="A76" s="98" t="inlineStr">
        <is>
          <t>C006</t>
        </is>
      </c>
      <c r="B76" s="98" t="inlineStr">
        <is>
          <t>Beacon Education</t>
        </is>
      </c>
      <c r="C76" s="9">
        <f>COUNTIF(B$5:B$52,A76)</f>
        <v/>
      </c>
      <c r="D76" s="44">
        <f>IFERROR(AVERAGEIF(B$5:B$52,A76,K$5:K$52),0)</f>
        <v/>
      </c>
      <c r="E76" s="44">
        <f>IFERROR(AVERAGEIF(B$5:B$52,A76,L$5:L$52),0)</f>
        <v/>
      </c>
      <c r="F76" s="44">
        <f>IFERROR(AVERAGEIF(B$5:B$52,A76,M$5:M$52),0)</f>
        <v/>
      </c>
      <c r="G76" s="10">
        <f>IFERROR(COUNTIFS(B$5:B$52,A76,R$5:R$52,"Y")/COUNTIF(B$5:B$52,A76),0)</f>
        <v/>
      </c>
    </row>
    <row r="77" ht="15" customHeight="1">
      <c r="A77" s="98" t="inlineStr">
        <is>
          <t>C007</t>
        </is>
      </c>
      <c r="B77" s="98" t="inlineStr">
        <is>
          <t>Forge Industries</t>
        </is>
      </c>
      <c r="C77" s="9">
        <f>COUNTIF(B$5:B$52,A77)</f>
        <v/>
      </c>
      <c r="D77" s="44">
        <f>IFERROR(AVERAGEIF(B$5:B$52,A77,K$5:K$52),0)</f>
        <v/>
      </c>
      <c r="E77" s="44">
        <f>IFERROR(AVERAGEIF(B$5:B$52,A77,L$5:L$52),0)</f>
        <v/>
      </c>
      <c r="F77" s="44">
        <f>IFERROR(AVERAGEIF(B$5:B$52,A77,M$5:M$52),0)</f>
        <v/>
      </c>
      <c r="G77" s="10">
        <f>IFERROR(COUNTIFS(B$5:B$52,A77,R$5:R$52,"Y")/COUNTIF(B$5:B$52,A77),0)</f>
        <v/>
      </c>
    </row>
    <row r="78" ht="15" customHeight="1">
      <c r="A78" s="98" t="inlineStr">
        <is>
          <t>C008</t>
        </is>
      </c>
      <c r="B78" s="98" t="inlineStr">
        <is>
          <t>Crestline Media</t>
        </is>
      </c>
      <c r="C78" s="9">
        <f>COUNTIF(B$5:B$52,A78)</f>
        <v/>
      </c>
      <c r="D78" s="44">
        <f>IFERROR(AVERAGEIF(B$5:B$52,A78,K$5:K$52),0)</f>
        <v/>
      </c>
      <c r="E78" s="44">
        <f>IFERROR(AVERAGEIF(B$5:B$52,A78,L$5:L$52),0)</f>
        <v/>
      </c>
      <c r="F78" s="44">
        <f>IFERROR(AVERAGEIF(B$5:B$52,A78,M$5:M$52),0)</f>
        <v/>
      </c>
      <c r="G78" s="10">
        <f>IFERROR(COUNTIFS(B$5:B$52,A78,R$5:R$52,"Y")/COUNTIF(B$5:B$52,A78),0)</f>
        <v/>
      </c>
    </row>
    <row r="79" ht="15" customHeight="1">
      <c r="A79" s="98" t="inlineStr">
        <is>
          <t>C009</t>
        </is>
      </c>
      <c r="B79" s="98" t="inlineStr">
        <is>
          <t>Summit Energy</t>
        </is>
      </c>
      <c r="C79" s="9">
        <f>COUNTIF(B$5:B$52,A79)</f>
        <v/>
      </c>
      <c r="D79" s="44">
        <f>IFERROR(AVERAGEIF(B$5:B$52,A79,K$5:K$52),0)</f>
        <v/>
      </c>
      <c r="E79" s="44">
        <f>IFERROR(AVERAGEIF(B$5:B$52,A79,L$5:L$52),0)</f>
        <v/>
      </c>
      <c r="F79" s="44">
        <f>IFERROR(AVERAGEIF(B$5:B$52,A79,M$5:M$52),0)</f>
        <v/>
      </c>
      <c r="G79" s="10">
        <f>IFERROR(COUNTIFS(B$5:B$52,A79,R$5:R$52,"Y")/COUNTIF(B$5:B$52,A79),0)</f>
        <v/>
      </c>
    </row>
    <row r="80" ht="15" customHeight="1">
      <c r="A80" s="98" t="inlineStr">
        <is>
          <t>C010</t>
        </is>
      </c>
      <c r="B80" s="98" t="inlineStr">
        <is>
          <t>Vantage Tech</t>
        </is>
      </c>
      <c r="C80" s="9">
        <f>COUNTIF(B$5:B$52,A80)</f>
        <v/>
      </c>
      <c r="D80" s="44">
        <f>IFERROR(AVERAGEIF(B$5:B$52,A80,K$5:K$52),0)</f>
        <v/>
      </c>
      <c r="E80" s="44">
        <f>IFERROR(AVERAGEIF(B$5:B$52,A80,L$5:L$52),0)</f>
        <v/>
      </c>
      <c r="F80" s="44">
        <f>IFERROR(AVERAGEIF(B$5:B$52,A80,M$5:M$52),0)</f>
        <v/>
      </c>
      <c r="G80" s="10">
        <f>IFERROR(COUNTIFS(B$5:B$52,A80,R$5:R$52,"Y")/COUNTIF(B$5:B$52,A80),0)</f>
        <v/>
      </c>
    </row>
    <row r="81" ht="15" customHeight="1">
      <c r="A81" s="98" t="inlineStr">
        <is>
          <t>C011</t>
        </is>
      </c>
      <c r="B81" s="98" t="inlineStr">
        <is>
          <t>Horizon Pharma</t>
        </is>
      </c>
      <c r="C81" s="9">
        <f>COUNTIF(B$5:B$52,A81)</f>
        <v/>
      </c>
      <c r="D81" s="44">
        <f>IFERROR(AVERAGEIF(B$5:B$52,A81,K$5:K$52),0)</f>
        <v/>
      </c>
      <c r="E81" s="44">
        <f>IFERROR(AVERAGEIF(B$5:B$52,A81,L$5:L$52),0)</f>
        <v/>
      </c>
      <c r="F81" s="44">
        <f>IFERROR(AVERAGEIF(B$5:B$52,A81,M$5:M$52),0)</f>
        <v/>
      </c>
      <c r="G81" s="10">
        <f>IFERROR(COUNTIFS(B$5:B$52,A81,R$5:R$52,"Y")/COUNTIF(B$5:B$52,A81),0)</f>
        <v/>
      </c>
    </row>
    <row r="82" ht="15" customHeight="1">
      <c r="A82" s="98" t="inlineStr">
        <is>
          <t>C012</t>
        </is>
      </c>
      <c r="B82" s="98" t="inlineStr">
        <is>
          <t>Keystone Bank</t>
        </is>
      </c>
      <c r="C82" s="9">
        <f>COUNTIF(B$5:B$52,A82)</f>
        <v/>
      </c>
      <c r="D82" s="44">
        <f>IFERROR(AVERAGEIF(B$5:B$52,A82,K$5:K$52),0)</f>
        <v/>
      </c>
      <c r="E82" s="44">
        <f>IFERROR(AVERAGEIF(B$5:B$52,A82,L$5:L$52),0)</f>
        <v/>
      </c>
      <c r="F82" s="44">
        <f>IFERROR(AVERAGEIF(B$5:B$52,A82,M$5:M$52),0)</f>
        <v/>
      </c>
      <c r="G82" s="10">
        <f>IFERROR(COUNTIFS(B$5:B$52,A82,R$5:R$52,"Y")/COUNTIF(B$5:B$52,A82),0)</f>
        <v/>
      </c>
    </row>
  </sheetData>
  <mergeCells count="4">
    <mergeCell ref="A1:R1"/>
    <mergeCell ref="A54:G54"/>
    <mergeCell ref="A2:S2"/>
    <mergeCell ref="A69:G69"/>
  </mergeCells>
  <pageMargins left="0.75" right="0.75" top="1" bottom="1" header="0.511811023622047" footer="0.511811023622047"/>
  <pageSetup orientation="portrait" paperSize="9" horizontalDpi="300" verticalDpi="300"/>
</worksheet>
</file>

<file path=xl/worksheets/sheet8.xml><?xml version="1.0" encoding="utf-8"?>
<worksheet xmlns="http://schemas.openxmlformats.org/spreadsheetml/2006/main">
  <sheetPr>
    <tabColor rgb="FF3498DB"/>
    <outlinePr summaryBelow="1" summaryRight="1"/>
    <pageSetUpPr/>
  </sheetPr>
  <dimension ref="A1:L89"/>
  <sheetViews>
    <sheetView zoomScaleNormal="100" workbookViewId="0">
      <selection activeCell="A1" sqref="A1:L1"/>
    </sheetView>
  </sheetViews>
  <sheetFormatPr baseColWidth="8" defaultColWidth="8.7109375" defaultRowHeight="15"/>
  <cols>
    <col width="10" customWidth="1" min="1" max="1"/>
    <col width="12" customWidth="1" min="2" max="2"/>
    <col width="22" customWidth="1" min="3" max="3"/>
    <col width="12" customWidth="1" min="4" max="5"/>
    <col width="10" customWidth="1" min="6" max="6"/>
    <col width="18" customWidth="1" min="7" max="7"/>
    <col width="16" customWidth="1" min="8" max="8"/>
    <col width="14" customWidth="1" min="9" max="9"/>
    <col width="10" customWidth="1" min="10" max="11"/>
    <col width="24" customWidth="1" min="12" max="12"/>
  </cols>
  <sheetData>
    <row r="1" ht="17.25" customHeight="1">
      <c r="A1" s="93" t="inlineStr">
        <is>
          <t>Support Ticket Log</t>
        </is>
      </c>
    </row>
    <row r="2" ht="15" customHeight="1">
      <c r="A2" s="94" t="inlineStr">
        <is>
          <t>Support ticket data showing resolution quality by customer and partner. Feeds CSI (Retention score) and ECS (Support capability).</t>
        </is>
      </c>
    </row>
    <row r="4" ht="26.25" customHeight="1">
      <c r="A4" s="5" t="inlineStr">
        <is>
          <t>Ticket ID</t>
        </is>
      </c>
      <c r="B4" s="5" t="inlineStr">
        <is>
          <t>Customer ID</t>
        </is>
      </c>
      <c r="C4" s="5" t="inlineStr">
        <is>
          <t>Customer Name</t>
        </is>
      </c>
      <c r="D4" s="5" t="inlineStr">
        <is>
          <t>Opened Date</t>
        </is>
      </c>
      <c r="E4" s="5" t="inlineStr">
        <is>
          <t>Resolved Date</t>
        </is>
      </c>
      <c r="F4" s="5" t="inlineStr">
        <is>
          <t>Severity</t>
        </is>
      </c>
      <c r="G4" s="5" t="inlineStr">
        <is>
          <t>Category</t>
        </is>
      </c>
      <c r="H4" s="5" t="inlineStr">
        <is>
          <t>Assigned Partner</t>
        </is>
      </c>
      <c r="I4" s="5" t="inlineStr">
        <is>
          <t>Resolution Days</t>
        </is>
      </c>
      <c r="J4" s="5" t="inlineStr">
        <is>
          <t>CSAT (1-5)</t>
        </is>
      </c>
      <c r="K4" s="5" t="inlineStr">
        <is>
          <t>Escalated?</t>
        </is>
      </c>
      <c r="L4" s="5" t="inlineStr">
        <is>
          <t>Root Cause</t>
        </is>
      </c>
    </row>
    <row r="5" ht="15" customHeight="1">
      <c r="A5" s="20" t="inlineStr">
        <is>
          <t>TIX-001</t>
        </is>
      </c>
      <c r="B5" s="20" t="inlineStr">
        <is>
          <t>C001</t>
        </is>
      </c>
      <c r="C5" s="20" t="inlineStr">
        <is>
          <t>Meridian Healthcare</t>
        </is>
      </c>
      <c r="D5" s="21" t="n">
        <v>44965</v>
      </c>
      <c r="E5" s="21" t="n">
        <v>44972</v>
      </c>
      <c r="F5" s="20" t="inlineStr">
        <is>
          <t>Critical</t>
        </is>
      </c>
      <c r="G5" s="20" t="inlineStr">
        <is>
          <t>Access/Permissions</t>
        </is>
      </c>
      <c r="H5" s="20" t="inlineStr">
        <is>
          <t>P003</t>
        </is>
      </c>
      <c r="I5" s="40">
        <f>E5-D5</f>
        <v/>
      </c>
      <c r="J5" s="34" t="n">
        <v>4</v>
      </c>
      <c r="K5" s="20" t="inlineStr">
        <is>
          <t>No</t>
        </is>
      </c>
      <c r="L5" s="20" t="inlineStr">
        <is>
          <t>Product limitation</t>
        </is>
      </c>
    </row>
    <row r="6" ht="15" customHeight="1">
      <c r="A6" s="24" t="inlineStr">
        <is>
          <t>TIX-002</t>
        </is>
      </c>
      <c r="B6" s="24" t="inlineStr">
        <is>
          <t>C001</t>
        </is>
      </c>
      <c r="C6" s="24" t="inlineStr">
        <is>
          <t>Meridian Healthcare</t>
        </is>
      </c>
      <c r="D6" s="25" t="n">
        <v>44929</v>
      </c>
      <c r="E6" s="25" t="n">
        <v>44934</v>
      </c>
      <c r="F6" s="24" t="inlineStr">
        <is>
          <t>Low</t>
        </is>
      </c>
      <c r="G6" s="24" t="inlineStr">
        <is>
          <t>Feature Request</t>
        </is>
      </c>
      <c r="H6" s="24" t="inlineStr">
        <is>
          <t>P009</t>
        </is>
      </c>
      <c r="I6" s="42">
        <f>E6-D6</f>
        <v/>
      </c>
      <c r="J6" s="35" t="n">
        <v>3</v>
      </c>
      <c r="K6" s="24" t="inlineStr">
        <is>
          <t>No</t>
        </is>
      </c>
      <c r="L6" s="24" t="inlineStr">
        <is>
          <t>Third-party dependency</t>
        </is>
      </c>
    </row>
    <row r="7" ht="15" customHeight="1">
      <c r="A7" s="20" t="inlineStr">
        <is>
          <t>TIX-003</t>
        </is>
      </c>
      <c r="B7" s="20" t="inlineStr">
        <is>
          <t>C001</t>
        </is>
      </c>
      <c r="C7" s="20" t="inlineStr">
        <is>
          <t>Meridian Healthcare</t>
        </is>
      </c>
      <c r="D7" s="21" t="n">
        <v>45156</v>
      </c>
      <c r="E7" s="21" t="n">
        <v>45162</v>
      </c>
      <c r="F7" s="20" t="inlineStr">
        <is>
          <t>High</t>
        </is>
      </c>
      <c r="G7" s="20" t="inlineStr">
        <is>
          <t>Bug</t>
        </is>
      </c>
      <c r="H7" s="20" t="inlineStr">
        <is>
          <t>P009</t>
        </is>
      </c>
      <c r="I7" s="40">
        <f>E7-D7</f>
        <v/>
      </c>
      <c r="J7" s="34" t="n">
        <v>4</v>
      </c>
      <c r="K7" s="20" t="inlineStr">
        <is>
          <t>No</t>
        </is>
      </c>
      <c r="L7" s="20" t="inlineStr">
        <is>
          <t>Data quality issue</t>
        </is>
      </c>
    </row>
    <row r="8" ht="15" customHeight="1">
      <c r="A8" s="24" t="inlineStr">
        <is>
          <t>TIX-004</t>
        </is>
      </c>
      <c r="B8" s="24" t="inlineStr">
        <is>
          <t>C001</t>
        </is>
      </c>
      <c r="C8" s="24" t="inlineStr">
        <is>
          <t>Meridian Healthcare</t>
        </is>
      </c>
      <c r="D8" s="25" t="n">
        <v>45055</v>
      </c>
      <c r="E8" s="25" t="n">
        <v>45059</v>
      </c>
      <c r="F8" s="24" t="inlineStr">
        <is>
          <t>Medium</t>
        </is>
      </c>
      <c r="G8" s="24" t="inlineStr">
        <is>
          <t>Feature Request</t>
        </is>
      </c>
      <c r="H8" s="24" t="inlineStr">
        <is>
          <t>P009</t>
        </is>
      </c>
      <c r="I8" s="42">
        <f>E8-D8</f>
        <v/>
      </c>
      <c r="J8" s="35" t="n">
        <v>3</v>
      </c>
      <c r="K8" s="24" t="inlineStr">
        <is>
          <t>No</t>
        </is>
      </c>
      <c r="L8" s="24" t="inlineStr">
        <is>
          <t>Product limitation</t>
        </is>
      </c>
    </row>
    <row r="9" ht="15" customHeight="1">
      <c r="A9" s="20" t="inlineStr">
        <is>
          <t>TIX-005</t>
        </is>
      </c>
      <c r="B9" s="20" t="inlineStr">
        <is>
          <t>C001</t>
        </is>
      </c>
      <c r="C9" s="20" t="inlineStr">
        <is>
          <t>Meridian Healthcare</t>
        </is>
      </c>
      <c r="D9" s="21" t="n">
        <v>45023</v>
      </c>
      <c r="E9" s="21" t="n">
        <v>45031</v>
      </c>
      <c r="F9" s="20" t="inlineStr">
        <is>
          <t>Medium</t>
        </is>
      </c>
      <c r="G9" s="20" t="inlineStr">
        <is>
          <t>Performance</t>
        </is>
      </c>
      <c r="H9" s="20" t="inlineStr">
        <is>
          <t>P003</t>
        </is>
      </c>
      <c r="I9" s="40">
        <f>E9-D9</f>
        <v/>
      </c>
      <c r="J9" s="34" t="n">
        <v>4</v>
      </c>
      <c r="K9" s="20" t="inlineStr">
        <is>
          <t>No</t>
        </is>
      </c>
      <c r="L9" s="20" t="inlineStr">
        <is>
          <t>Process misalignment</t>
        </is>
      </c>
    </row>
    <row r="10" ht="15" customHeight="1">
      <c r="A10" s="24" t="inlineStr">
        <is>
          <t>TIX-006</t>
        </is>
      </c>
      <c r="B10" s="24" t="inlineStr">
        <is>
          <t>C002</t>
        </is>
      </c>
      <c r="C10" s="24" t="inlineStr">
        <is>
          <t>Atlas Financial</t>
        </is>
      </c>
      <c r="D10" s="25" t="n">
        <v>45083</v>
      </c>
      <c r="E10" s="25" t="n">
        <v>45088</v>
      </c>
      <c r="F10" s="24" t="inlineStr">
        <is>
          <t>High</t>
        </is>
      </c>
      <c r="G10" s="24" t="inlineStr">
        <is>
          <t>Bug</t>
        </is>
      </c>
      <c r="H10" s="24" t="inlineStr">
        <is>
          <t>P003</t>
        </is>
      </c>
      <c r="I10" s="42">
        <f>E10-D10</f>
        <v/>
      </c>
      <c r="J10" s="35" t="n">
        <v>3</v>
      </c>
      <c r="K10" s="24" t="inlineStr">
        <is>
          <t>No</t>
        </is>
      </c>
      <c r="L10" s="24" t="inlineStr">
        <is>
          <t>Integration defect</t>
        </is>
      </c>
    </row>
    <row r="11" ht="15" customHeight="1">
      <c r="A11" s="20" t="inlineStr">
        <is>
          <t>TIX-007</t>
        </is>
      </c>
      <c r="B11" s="20" t="inlineStr">
        <is>
          <t>C002</t>
        </is>
      </c>
      <c r="C11" s="20" t="inlineStr">
        <is>
          <t>Atlas Financial</t>
        </is>
      </c>
      <c r="D11" s="21" t="n">
        <v>45179</v>
      </c>
      <c r="E11" s="21" t="n">
        <v>45182</v>
      </c>
      <c r="F11" s="20" t="inlineStr">
        <is>
          <t>Medium</t>
        </is>
      </c>
      <c r="G11" s="20" t="inlineStr">
        <is>
          <t>Integration Issue</t>
        </is>
      </c>
      <c r="H11" s="20" t="inlineStr">
        <is>
          <t>P003</t>
        </is>
      </c>
      <c r="I11" s="40">
        <f>E11-D11</f>
        <v/>
      </c>
      <c r="J11" s="34" t="n">
        <v>5</v>
      </c>
      <c r="K11" s="20" t="inlineStr">
        <is>
          <t>No</t>
        </is>
      </c>
      <c r="L11" s="20" t="inlineStr">
        <is>
          <t>User adoption gap</t>
        </is>
      </c>
    </row>
    <row r="12" ht="15" customHeight="1">
      <c r="A12" s="24" t="inlineStr">
        <is>
          <t>TIX-008</t>
        </is>
      </c>
      <c r="B12" s="24" t="inlineStr">
        <is>
          <t>C002</t>
        </is>
      </c>
      <c r="C12" s="24" t="inlineStr">
        <is>
          <t>Atlas Financial</t>
        </is>
      </c>
      <c r="D12" s="25" t="n">
        <v>45154</v>
      </c>
      <c r="E12" s="25" t="n">
        <v>45162</v>
      </c>
      <c r="F12" s="24" t="inlineStr">
        <is>
          <t>Critical</t>
        </is>
      </c>
      <c r="G12" s="24" t="inlineStr">
        <is>
          <t>Integration Issue</t>
        </is>
      </c>
      <c r="H12" s="24" t="inlineStr">
        <is>
          <t>P005</t>
        </is>
      </c>
      <c r="I12" s="42">
        <f>E12-D12</f>
        <v/>
      </c>
      <c r="J12" s="35" t="n">
        <v>4</v>
      </c>
      <c r="K12" s="24" t="inlineStr">
        <is>
          <t>No</t>
        </is>
      </c>
      <c r="L12" s="24" t="inlineStr">
        <is>
          <t>Integration defect</t>
        </is>
      </c>
    </row>
    <row r="13" ht="15" customHeight="1">
      <c r="A13" s="20" t="inlineStr">
        <is>
          <t>TIX-009</t>
        </is>
      </c>
      <c r="B13" s="20" t="inlineStr">
        <is>
          <t>C003</t>
        </is>
      </c>
      <c r="C13" s="20" t="inlineStr">
        <is>
          <t>Pinnacle Retail</t>
        </is>
      </c>
      <c r="D13" s="21" t="n">
        <v>44970</v>
      </c>
      <c r="E13" s="21" t="n">
        <v>44982</v>
      </c>
      <c r="F13" s="20" t="inlineStr">
        <is>
          <t>Medium</t>
        </is>
      </c>
      <c r="G13" s="20" t="inlineStr">
        <is>
          <t>Feature Request</t>
        </is>
      </c>
      <c r="H13" s="20" t="inlineStr">
        <is>
          <t>P008</t>
        </is>
      </c>
      <c r="I13" s="40">
        <f>E13-D13</f>
        <v/>
      </c>
      <c r="J13" s="34" t="n">
        <v>2</v>
      </c>
      <c r="K13" s="20" t="inlineStr">
        <is>
          <t>No</t>
        </is>
      </c>
      <c r="L13" s="20" t="inlineStr">
        <is>
          <t>Configuration gap</t>
        </is>
      </c>
    </row>
    <row r="14" ht="15" customHeight="1">
      <c r="A14" s="24" t="inlineStr">
        <is>
          <t>TIX-010</t>
        </is>
      </c>
      <c r="B14" s="24" t="inlineStr">
        <is>
          <t>C003</t>
        </is>
      </c>
      <c r="C14" s="24" t="inlineStr">
        <is>
          <t>Pinnacle Retail</t>
        </is>
      </c>
      <c r="D14" s="25" t="n">
        <v>44965</v>
      </c>
      <c r="E14" s="25" t="n">
        <v>44971</v>
      </c>
      <c r="F14" s="24" t="inlineStr">
        <is>
          <t>High</t>
        </is>
      </c>
      <c r="G14" s="24" t="inlineStr">
        <is>
          <t>Configuration</t>
        </is>
      </c>
      <c r="H14" s="24" t="inlineStr">
        <is>
          <t>P006</t>
        </is>
      </c>
      <c r="I14" s="42">
        <f>E14-D14</f>
        <v/>
      </c>
      <c r="J14" s="35" t="n">
        <v>4</v>
      </c>
      <c r="K14" s="24" t="inlineStr">
        <is>
          <t>No</t>
        </is>
      </c>
      <c r="L14" s="24" t="inlineStr">
        <is>
          <t>Third-party dependency</t>
        </is>
      </c>
    </row>
    <row r="15" ht="15" customHeight="1">
      <c r="A15" s="20" t="inlineStr">
        <is>
          <t>TIX-011</t>
        </is>
      </c>
      <c r="B15" s="20" t="inlineStr">
        <is>
          <t>C003</t>
        </is>
      </c>
      <c r="C15" s="20" t="inlineStr">
        <is>
          <t>Pinnacle Retail</t>
        </is>
      </c>
      <c r="D15" s="21" t="n">
        <v>45153</v>
      </c>
      <c r="E15" s="21" t="n">
        <v>45162</v>
      </c>
      <c r="F15" s="20" t="inlineStr">
        <is>
          <t>High</t>
        </is>
      </c>
      <c r="G15" s="20" t="inlineStr">
        <is>
          <t>Access/Permissions</t>
        </is>
      </c>
      <c r="H15" s="20" t="inlineStr">
        <is>
          <t>P006</t>
        </is>
      </c>
      <c r="I15" s="40">
        <f>E15-D15</f>
        <v/>
      </c>
      <c r="J15" s="34" t="n">
        <v>4</v>
      </c>
      <c r="K15" s="20" t="inlineStr">
        <is>
          <t>No</t>
        </is>
      </c>
      <c r="L15" s="20" t="inlineStr">
        <is>
          <t>Third-party dependency</t>
        </is>
      </c>
    </row>
    <row r="16" ht="15" customHeight="1">
      <c r="A16" s="24" t="inlineStr">
        <is>
          <t>TIX-012</t>
        </is>
      </c>
      <c r="B16" s="24" t="inlineStr">
        <is>
          <t>C003</t>
        </is>
      </c>
      <c r="C16" s="24" t="inlineStr">
        <is>
          <t>Pinnacle Retail</t>
        </is>
      </c>
      <c r="D16" s="25" t="n">
        <v>45037</v>
      </c>
      <c r="E16" s="25" t="n">
        <v>45045</v>
      </c>
      <c r="F16" s="24" t="inlineStr">
        <is>
          <t>Medium</t>
        </is>
      </c>
      <c r="G16" s="24" t="inlineStr">
        <is>
          <t>Integration Issue</t>
        </is>
      </c>
      <c r="H16" s="24" t="inlineStr">
        <is>
          <t>P008</t>
        </is>
      </c>
      <c r="I16" s="42">
        <f>E16-D16</f>
        <v/>
      </c>
      <c r="J16" s="35" t="n">
        <v>3</v>
      </c>
      <c r="K16" s="24" t="inlineStr">
        <is>
          <t>No</t>
        </is>
      </c>
      <c r="L16" s="24" t="inlineStr">
        <is>
          <t>Missing training</t>
        </is>
      </c>
    </row>
    <row r="17" ht="15" customHeight="1">
      <c r="A17" s="20" t="inlineStr">
        <is>
          <t>TIX-013</t>
        </is>
      </c>
      <c r="B17" s="20" t="inlineStr">
        <is>
          <t>C003</t>
        </is>
      </c>
      <c r="C17" s="20" t="inlineStr">
        <is>
          <t>Pinnacle Retail</t>
        </is>
      </c>
      <c r="D17" s="21" t="n">
        <v>45172</v>
      </c>
      <c r="E17" s="21" t="n">
        <v>45179</v>
      </c>
      <c r="F17" s="20" t="inlineStr">
        <is>
          <t>High</t>
        </is>
      </c>
      <c r="G17" s="20" t="inlineStr">
        <is>
          <t>User Error</t>
        </is>
      </c>
      <c r="H17" s="20" t="inlineStr">
        <is>
          <t>P008</t>
        </is>
      </c>
      <c r="I17" s="40">
        <f>E17-D17</f>
        <v/>
      </c>
      <c r="J17" s="34" t="n">
        <v>2</v>
      </c>
      <c r="K17" s="20" t="inlineStr">
        <is>
          <t>No</t>
        </is>
      </c>
      <c r="L17" s="20" t="inlineStr">
        <is>
          <t>Third-party dependency</t>
        </is>
      </c>
    </row>
    <row r="18" ht="15" customHeight="1">
      <c r="A18" s="24" t="inlineStr">
        <is>
          <t>TIX-014</t>
        </is>
      </c>
      <c r="B18" s="24" t="inlineStr">
        <is>
          <t>C004</t>
        </is>
      </c>
      <c r="C18" s="24" t="inlineStr">
        <is>
          <t>Orion Manufacturing</t>
        </is>
      </c>
      <c r="D18" s="25" t="n">
        <v>45026</v>
      </c>
      <c r="E18" s="25" t="n">
        <v>45031</v>
      </c>
      <c r="F18" s="24" t="inlineStr">
        <is>
          <t>Low</t>
        </is>
      </c>
      <c r="G18" s="24" t="inlineStr">
        <is>
          <t>Bug</t>
        </is>
      </c>
      <c r="H18" s="24" t="inlineStr">
        <is>
          <t>P003</t>
        </is>
      </c>
      <c r="I18" s="42">
        <f>E18-D18</f>
        <v/>
      </c>
      <c r="J18" s="35" t="n">
        <v>5</v>
      </c>
      <c r="K18" s="24" t="inlineStr">
        <is>
          <t>No</t>
        </is>
      </c>
      <c r="L18" s="24" t="inlineStr">
        <is>
          <t>User adoption gap</t>
        </is>
      </c>
    </row>
    <row r="19" ht="15" customHeight="1">
      <c r="A19" s="20" t="inlineStr">
        <is>
          <t>TIX-015</t>
        </is>
      </c>
      <c r="B19" s="20" t="inlineStr">
        <is>
          <t>C004</t>
        </is>
      </c>
      <c r="C19" s="20" t="inlineStr">
        <is>
          <t>Orion Manufacturing</t>
        </is>
      </c>
      <c r="D19" s="21" t="n">
        <v>45249</v>
      </c>
      <c r="E19" s="21" t="n">
        <v>45253</v>
      </c>
      <c r="F19" s="20" t="inlineStr">
        <is>
          <t>Critical</t>
        </is>
      </c>
      <c r="G19" s="20" t="inlineStr">
        <is>
          <t>User Error</t>
        </is>
      </c>
      <c r="H19" s="20" t="inlineStr">
        <is>
          <t>P009</t>
        </is>
      </c>
      <c r="I19" s="40">
        <f>E19-D19</f>
        <v/>
      </c>
      <c r="J19" s="34" t="n">
        <v>4</v>
      </c>
      <c r="K19" s="20" t="inlineStr">
        <is>
          <t>No</t>
        </is>
      </c>
      <c r="L19" s="20" t="inlineStr">
        <is>
          <t>Missing training</t>
        </is>
      </c>
    </row>
    <row r="20" ht="15" customHeight="1">
      <c r="A20" s="24" t="inlineStr">
        <is>
          <t>TIX-016</t>
        </is>
      </c>
      <c r="B20" s="24" t="inlineStr">
        <is>
          <t>C004</t>
        </is>
      </c>
      <c r="C20" s="24" t="inlineStr">
        <is>
          <t>Orion Manufacturing</t>
        </is>
      </c>
      <c r="D20" s="25" t="n">
        <v>44988</v>
      </c>
      <c r="E20" s="25" t="n">
        <v>44989</v>
      </c>
      <c r="F20" s="24" t="inlineStr">
        <is>
          <t>High</t>
        </is>
      </c>
      <c r="G20" s="24" t="inlineStr">
        <is>
          <t>Configuration</t>
        </is>
      </c>
      <c r="H20" s="24" t="inlineStr">
        <is>
          <t>P009</t>
        </is>
      </c>
      <c r="I20" s="42">
        <f>E20-D20</f>
        <v/>
      </c>
      <c r="J20" s="35" t="n">
        <v>3</v>
      </c>
      <c r="K20" s="24" t="inlineStr">
        <is>
          <t>No</t>
        </is>
      </c>
      <c r="L20" s="24" t="inlineStr">
        <is>
          <t>Process misalignment</t>
        </is>
      </c>
    </row>
    <row r="21" ht="15" customHeight="1">
      <c r="A21" s="20" t="inlineStr">
        <is>
          <t>TIX-017</t>
        </is>
      </c>
      <c r="B21" s="20" t="inlineStr">
        <is>
          <t>C004</t>
        </is>
      </c>
      <c r="C21" s="20" t="inlineStr">
        <is>
          <t>Orion Manufacturing</t>
        </is>
      </c>
      <c r="D21" s="21" t="n">
        <v>45161</v>
      </c>
      <c r="E21" s="21" t="n">
        <v>45166</v>
      </c>
      <c r="F21" s="20" t="inlineStr">
        <is>
          <t>Medium</t>
        </is>
      </c>
      <c r="G21" s="20" t="inlineStr">
        <is>
          <t>Feature Request</t>
        </is>
      </c>
      <c r="H21" s="20" t="inlineStr">
        <is>
          <t>P003</t>
        </is>
      </c>
      <c r="I21" s="40">
        <f>E21-D21</f>
        <v/>
      </c>
      <c r="J21" s="34" t="n">
        <v>5</v>
      </c>
      <c r="K21" s="20" t="inlineStr">
        <is>
          <t>No</t>
        </is>
      </c>
      <c r="L21" s="20" t="inlineStr">
        <is>
          <t>Third-party dependency</t>
        </is>
      </c>
    </row>
    <row r="22" ht="15" customHeight="1">
      <c r="A22" s="24" t="inlineStr">
        <is>
          <t>TIX-018</t>
        </is>
      </c>
      <c r="B22" s="24" t="inlineStr">
        <is>
          <t>C005</t>
        </is>
      </c>
      <c r="C22" s="24" t="inlineStr">
        <is>
          <t>Zenith Logistics</t>
        </is>
      </c>
      <c r="D22" s="25" t="n">
        <v>45201</v>
      </c>
      <c r="E22" s="25" t="n">
        <v>45219</v>
      </c>
      <c r="F22" s="24" t="inlineStr">
        <is>
          <t>Low</t>
        </is>
      </c>
      <c r="G22" s="24" t="inlineStr">
        <is>
          <t>Feature Request</t>
        </is>
      </c>
      <c r="H22" s="24" t="inlineStr">
        <is>
          <t>P008</t>
        </is>
      </c>
      <c r="I22" s="42">
        <f>E22-D22</f>
        <v/>
      </c>
      <c r="J22" s="35" t="n">
        <v>3</v>
      </c>
      <c r="K22" s="24" t="inlineStr">
        <is>
          <t>No</t>
        </is>
      </c>
      <c r="L22" s="24" t="inlineStr">
        <is>
          <t>Data quality issue</t>
        </is>
      </c>
    </row>
    <row r="23" ht="15" customHeight="1">
      <c r="A23" s="20" t="inlineStr">
        <is>
          <t>TIX-019</t>
        </is>
      </c>
      <c r="B23" s="20" t="inlineStr">
        <is>
          <t>C005</t>
        </is>
      </c>
      <c r="C23" s="20" t="inlineStr">
        <is>
          <t>Zenith Logistics</t>
        </is>
      </c>
      <c r="D23" s="21" t="n">
        <v>45038</v>
      </c>
      <c r="E23" s="21" t="n">
        <v>45050</v>
      </c>
      <c r="F23" s="20" t="inlineStr">
        <is>
          <t>Medium</t>
        </is>
      </c>
      <c r="G23" s="20" t="inlineStr">
        <is>
          <t>Integration Issue</t>
        </is>
      </c>
      <c r="H23" s="20" t="inlineStr">
        <is>
          <t>P008</t>
        </is>
      </c>
      <c r="I23" s="40">
        <f>E23-D23</f>
        <v/>
      </c>
      <c r="J23" s="34" t="n">
        <v>3</v>
      </c>
      <c r="K23" s="20" t="inlineStr">
        <is>
          <t>No</t>
        </is>
      </c>
      <c r="L23" s="20" t="inlineStr">
        <is>
          <t>Process misalignment</t>
        </is>
      </c>
    </row>
    <row r="24" ht="15" customHeight="1">
      <c r="A24" s="24" t="inlineStr">
        <is>
          <t>TIX-020</t>
        </is>
      </c>
      <c r="B24" s="24" t="inlineStr">
        <is>
          <t>C005</t>
        </is>
      </c>
      <c r="C24" s="24" t="inlineStr">
        <is>
          <t>Zenith Logistics</t>
        </is>
      </c>
      <c r="D24" s="25" t="n">
        <v>45190</v>
      </c>
      <c r="E24" s="25" t="n">
        <v>45209</v>
      </c>
      <c r="F24" s="24" t="inlineStr">
        <is>
          <t>Critical</t>
        </is>
      </c>
      <c r="G24" s="24" t="inlineStr">
        <is>
          <t>Configuration</t>
        </is>
      </c>
      <c r="H24" s="24" t="inlineStr">
        <is>
          <t>P005</t>
        </is>
      </c>
      <c r="I24" s="42">
        <f>E24-D24</f>
        <v/>
      </c>
      <c r="J24" s="35" t="n">
        <v>2</v>
      </c>
      <c r="K24" s="24" t="inlineStr">
        <is>
          <t>Yes</t>
        </is>
      </c>
      <c r="L24" s="24" t="inlineStr">
        <is>
          <t>Integration defect</t>
        </is>
      </c>
    </row>
    <row r="25" ht="15" customHeight="1">
      <c r="A25" s="20" t="inlineStr">
        <is>
          <t>TIX-021</t>
        </is>
      </c>
      <c r="B25" s="20" t="inlineStr">
        <is>
          <t>C005</t>
        </is>
      </c>
      <c r="C25" s="20" t="inlineStr">
        <is>
          <t>Zenith Logistics</t>
        </is>
      </c>
      <c r="D25" s="21" t="n">
        <v>45150</v>
      </c>
      <c r="E25" s="21" t="n">
        <v>45168</v>
      </c>
      <c r="F25" s="20" t="inlineStr">
        <is>
          <t>Low</t>
        </is>
      </c>
      <c r="G25" s="20" t="inlineStr">
        <is>
          <t>Feature Request</t>
        </is>
      </c>
      <c r="H25" s="20" t="inlineStr">
        <is>
          <t>P008</t>
        </is>
      </c>
      <c r="I25" s="40">
        <f>E25-D25</f>
        <v/>
      </c>
      <c r="J25" s="34" t="n">
        <v>2</v>
      </c>
      <c r="K25" s="20" t="inlineStr">
        <is>
          <t>No</t>
        </is>
      </c>
      <c r="L25" s="20" t="inlineStr">
        <is>
          <t>Data quality issue</t>
        </is>
      </c>
    </row>
    <row r="26" ht="15" customHeight="1">
      <c r="A26" s="24" t="inlineStr">
        <is>
          <t>TIX-022</t>
        </is>
      </c>
      <c r="B26" s="24" t="inlineStr">
        <is>
          <t>C005</t>
        </is>
      </c>
      <c r="C26" s="24" t="inlineStr">
        <is>
          <t>Zenith Logistics</t>
        </is>
      </c>
      <c r="D26" s="25" t="n">
        <v>45130</v>
      </c>
      <c r="E26" s="25" t="n">
        <v>45149</v>
      </c>
      <c r="F26" s="24" t="inlineStr">
        <is>
          <t>Critical</t>
        </is>
      </c>
      <c r="G26" s="24" t="inlineStr">
        <is>
          <t>Configuration</t>
        </is>
      </c>
      <c r="H26" s="24" t="inlineStr">
        <is>
          <t>P005</t>
        </is>
      </c>
      <c r="I26" s="42">
        <f>E26-D26</f>
        <v/>
      </c>
      <c r="J26" s="35" t="n">
        <v>2</v>
      </c>
      <c r="K26" s="24" t="inlineStr">
        <is>
          <t>Yes</t>
        </is>
      </c>
      <c r="L26" s="24" t="inlineStr">
        <is>
          <t>Third-party dependency</t>
        </is>
      </c>
    </row>
    <row r="27" ht="15" customHeight="1">
      <c r="A27" s="20" t="inlineStr">
        <is>
          <t>TIX-023</t>
        </is>
      </c>
      <c r="B27" s="20" t="inlineStr">
        <is>
          <t>C005</t>
        </is>
      </c>
      <c r="C27" s="20" t="inlineStr">
        <is>
          <t>Zenith Logistics</t>
        </is>
      </c>
      <c r="D27" s="21" t="n">
        <v>45086</v>
      </c>
      <c r="E27" s="21" t="n">
        <v>45103</v>
      </c>
      <c r="F27" s="20" t="inlineStr">
        <is>
          <t>Critical</t>
        </is>
      </c>
      <c r="G27" s="20" t="inlineStr">
        <is>
          <t>Feature Request</t>
        </is>
      </c>
      <c r="H27" s="20" t="inlineStr">
        <is>
          <t>P008</t>
        </is>
      </c>
      <c r="I27" s="40">
        <f>E27-D27</f>
        <v/>
      </c>
      <c r="J27" s="34" t="n">
        <v>1</v>
      </c>
      <c r="K27" s="20" t="inlineStr">
        <is>
          <t>Yes</t>
        </is>
      </c>
      <c r="L27" s="20" t="inlineStr">
        <is>
          <t>Third-party dependency</t>
        </is>
      </c>
    </row>
    <row r="28" ht="15" customHeight="1">
      <c r="A28" s="24" t="inlineStr">
        <is>
          <t>TIX-024</t>
        </is>
      </c>
      <c r="B28" s="24" t="inlineStr">
        <is>
          <t>C005</t>
        </is>
      </c>
      <c r="C28" s="24" t="inlineStr">
        <is>
          <t>Zenith Logistics</t>
        </is>
      </c>
      <c r="D28" s="25" t="n">
        <v>45109</v>
      </c>
      <c r="E28" s="25" t="n">
        <v>45124</v>
      </c>
      <c r="F28" s="24" t="inlineStr">
        <is>
          <t>Critical</t>
        </is>
      </c>
      <c r="G28" s="24" t="inlineStr">
        <is>
          <t>Access/Permissions</t>
        </is>
      </c>
      <c r="H28" s="24" t="inlineStr">
        <is>
          <t>P005</t>
        </is>
      </c>
      <c r="I28" s="42">
        <f>E28-D28</f>
        <v/>
      </c>
      <c r="J28" s="35" t="n">
        <v>3</v>
      </c>
      <c r="K28" s="24" t="inlineStr">
        <is>
          <t>No</t>
        </is>
      </c>
      <c r="L28" s="24" t="inlineStr">
        <is>
          <t>Data quality issue</t>
        </is>
      </c>
    </row>
    <row r="29" ht="15" customHeight="1">
      <c r="A29" s="20" t="inlineStr">
        <is>
          <t>TIX-025</t>
        </is>
      </c>
      <c r="B29" s="20" t="inlineStr">
        <is>
          <t>C005</t>
        </is>
      </c>
      <c r="C29" s="20" t="inlineStr">
        <is>
          <t>Zenith Logistics</t>
        </is>
      </c>
      <c r="D29" s="21" t="n">
        <v>45025</v>
      </c>
      <c r="E29" s="21" t="n">
        <v>45039</v>
      </c>
      <c r="F29" s="20" t="inlineStr">
        <is>
          <t>Low</t>
        </is>
      </c>
      <c r="G29" s="20" t="inlineStr">
        <is>
          <t>Feature Request</t>
        </is>
      </c>
      <c r="H29" s="20" t="inlineStr">
        <is>
          <t>P008</t>
        </is>
      </c>
      <c r="I29" s="40">
        <f>E29-D29</f>
        <v/>
      </c>
      <c r="J29" s="34" t="n">
        <v>2</v>
      </c>
      <c r="K29" s="20" t="inlineStr">
        <is>
          <t>No</t>
        </is>
      </c>
      <c r="L29" s="20" t="inlineStr">
        <is>
          <t>User adoption gap</t>
        </is>
      </c>
    </row>
    <row r="30" ht="15" customHeight="1">
      <c r="A30" s="24" t="inlineStr">
        <is>
          <t>TIX-026</t>
        </is>
      </c>
      <c r="B30" s="24" t="inlineStr">
        <is>
          <t>C005</t>
        </is>
      </c>
      <c r="C30" s="24" t="inlineStr">
        <is>
          <t>Zenith Logistics</t>
        </is>
      </c>
      <c r="D30" s="25" t="n">
        <v>45250</v>
      </c>
      <c r="E30" s="25" t="n">
        <v>45265</v>
      </c>
      <c r="F30" s="24" t="inlineStr">
        <is>
          <t>Low</t>
        </is>
      </c>
      <c r="G30" s="24" t="inlineStr">
        <is>
          <t>Performance</t>
        </is>
      </c>
      <c r="H30" s="24" t="inlineStr">
        <is>
          <t>P008</t>
        </is>
      </c>
      <c r="I30" s="42">
        <f>E30-D30</f>
        <v/>
      </c>
      <c r="J30" s="35" t="n">
        <v>3</v>
      </c>
      <c r="K30" s="24" t="inlineStr">
        <is>
          <t>No</t>
        </is>
      </c>
      <c r="L30" s="24" t="inlineStr">
        <is>
          <t>Integration defect</t>
        </is>
      </c>
    </row>
    <row r="31" ht="15" customHeight="1">
      <c r="A31" s="20" t="inlineStr">
        <is>
          <t>TIX-027</t>
        </is>
      </c>
      <c r="B31" s="20" t="inlineStr">
        <is>
          <t>C005</t>
        </is>
      </c>
      <c r="C31" s="20" t="inlineStr">
        <is>
          <t>Zenith Logistics</t>
        </is>
      </c>
      <c r="D31" s="21" t="n">
        <v>45183</v>
      </c>
      <c r="E31" s="21" t="n">
        <v>45196</v>
      </c>
      <c r="F31" s="20" t="inlineStr">
        <is>
          <t>Medium</t>
        </is>
      </c>
      <c r="G31" s="20" t="inlineStr">
        <is>
          <t>Access/Permissions</t>
        </is>
      </c>
      <c r="H31" s="20" t="inlineStr">
        <is>
          <t>P008</t>
        </is>
      </c>
      <c r="I31" s="40">
        <f>E31-D31</f>
        <v/>
      </c>
      <c r="J31" s="34" t="n">
        <v>1</v>
      </c>
      <c r="K31" s="20" t="inlineStr">
        <is>
          <t>No</t>
        </is>
      </c>
      <c r="L31" s="20" t="inlineStr">
        <is>
          <t>Missing training</t>
        </is>
      </c>
    </row>
    <row r="32" ht="15" customHeight="1">
      <c r="A32" s="24" t="inlineStr">
        <is>
          <t>TIX-028</t>
        </is>
      </c>
      <c r="B32" s="24" t="inlineStr">
        <is>
          <t>C006</t>
        </is>
      </c>
      <c r="C32" s="24" t="inlineStr">
        <is>
          <t>Beacon Education</t>
        </is>
      </c>
      <c r="D32" s="25" t="n">
        <v>45270</v>
      </c>
      <c r="E32" s="25" t="n">
        <v>45279</v>
      </c>
      <c r="F32" s="24" t="inlineStr">
        <is>
          <t>Critical</t>
        </is>
      </c>
      <c r="G32" s="24" t="inlineStr">
        <is>
          <t>Configuration</t>
        </is>
      </c>
      <c r="H32" s="24" t="inlineStr">
        <is>
          <t>P010</t>
        </is>
      </c>
      <c r="I32" s="42">
        <f>E32-D32</f>
        <v/>
      </c>
      <c r="J32" s="35" t="n">
        <v>3</v>
      </c>
      <c r="K32" s="24" t="inlineStr">
        <is>
          <t>No</t>
        </is>
      </c>
      <c r="L32" s="24" t="inlineStr">
        <is>
          <t>User adoption gap</t>
        </is>
      </c>
    </row>
    <row r="33" ht="15" customHeight="1">
      <c r="A33" s="20" t="inlineStr">
        <is>
          <t>TIX-029</t>
        </is>
      </c>
      <c r="B33" s="20" t="inlineStr">
        <is>
          <t>C006</t>
        </is>
      </c>
      <c r="C33" s="20" t="inlineStr">
        <is>
          <t>Beacon Education</t>
        </is>
      </c>
      <c r="D33" s="21" t="n">
        <v>45174</v>
      </c>
      <c r="E33" s="21" t="n">
        <v>45185</v>
      </c>
      <c r="F33" s="20" t="inlineStr">
        <is>
          <t>Low</t>
        </is>
      </c>
      <c r="G33" s="20" t="inlineStr">
        <is>
          <t>User Error</t>
        </is>
      </c>
      <c r="H33" s="20" t="inlineStr">
        <is>
          <t>P010</t>
        </is>
      </c>
      <c r="I33" s="40">
        <f>E33-D33</f>
        <v/>
      </c>
      <c r="J33" s="34" t="n">
        <v>2</v>
      </c>
      <c r="K33" s="20" t="inlineStr">
        <is>
          <t>No</t>
        </is>
      </c>
      <c r="L33" s="20" t="inlineStr">
        <is>
          <t>Integration defect</t>
        </is>
      </c>
    </row>
    <row r="34" ht="15" customHeight="1">
      <c r="A34" s="24" t="inlineStr">
        <is>
          <t>TIX-030</t>
        </is>
      </c>
      <c r="B34" s="24" t="inlineStr">
        <is>
          <t>C006</t>
        </is>
      </c>
      <c r="C34" s="24" t="inlineStr">
        <is>
          <t>Beacon Education</t>
        </is>
      </c>
      <c r="D34" s="25" t="n">
        <v>45103</v>
      </c>
      <c r="E34" s="25" t="n">
        <v>45112</v>
      </c>
      <c r="F34" s="24" t="inlineStr">
        <is>
          <t>Critical</t>
        </is>
      </c>
      <c r="G34" s="24" t="inlineStr">
        <is>
          <t>Bug</t>
        </is>
      </c>
      <c r="H34" s="24" t="inlineStr">
        <is>
          <t>P010</t>
        </is>
      </c>
      <c r="I34" s="42">
        <f>E34-D34</f>
        <v/>
      </c>
      <c r="J34" s="35" t="n">
        <v>2</v>
      </c>
      <c r="K34" s="24" t="inlineStr">
        <is>
          <t>Yes</t>
        </is>
      </c>
      <c r="L34" s="24" t="inlineStr">
        <is>
          <t>Process misalignment</t>
        </is>
      </c>
    </row>
    <row r="35" ht="15" customHeight="1">
      <c r="A35" s="20" t="inlineStr">
        <is>
          <t>TIX-031</t>
        </is>
      </c>
      <c r="B35" s="20" t="inlineStr">
        <is>
          <t>C006</t>
        </is>
      </c>
      <c r="C35" s="20" t="inlineStr">
        <is>
          <t>Beacon Education</t>
        </is>
      </c>
      <c r="D35" s="21" t="n">
        <v>45156</v>
      </c>
      <c r="E35" s="21" t="n">
        <v>45168</v>
      </c>
      <c r="F35" s="20" t="inlineStr">
        <is>
          <t>Medium</t>
        </is>
      </c>
      <c r="G35" s="20" t="inlineStr">
        <is>
          <t>Feature Request</t>
        </is>
      </c>
      <c r="H35" s="20" t="inlineStr">
        <is>
          <t>P006</t>
        </is>
      </c>
      <c r="I35" s="40">
        <f>E35-D35</f>
        <v/>
      </c>
      <c r="J35" s="34" t="n">
        <v>3</v>
      </c>
      <c r="K35" s="20" t="inlineStr">
        <is>
          <t>No</t>
        </is>
      </c>
      <c r="L35" s="20" t="inlineStr">
        <is>
          <t>Data quality issue</t>
        </is>
      </c>
    </row>
    <row r="36" ht="15" customHeight="1">
      <c r="A36" s="24" t="inlineStr">
        <is>
          <t>TIX-032</t>
        </is>
      </c>
      <c r="B36" s="24" t="inlineStr">
        <is>
          <t>C006</t>
        </is>
      </c>
      <c r="C36" s="24" t="inlineStr">
        <is>
          <t>Beacon Education</t>
        </is>
      </c>
      <c r="D36" s="25" t="n">
        <v>45039</v>
      </c>
      <c r="E36" s="25" t="n">
        <v>45047</v>
      </c>
      <c r="F36" s="24" t="inlineStr">
        <is>
          <t>Low</t>
        </is>
      </c>
      <c r="G36" s="24" t="inlineStr">
        <is>
          <t>Feature Request</t>
        </is>
      </c>
      <c r="H36" s="24" t="inlineStr">
        <is>
          <t>P010</t>
        </is>
      </c>
      <c r="I36" s="42">
        <f>E36-D36</f>
        <v/>
      </c>
      <c r="J36" s="35" t="n">
        <v>4</v>
      </c>
      <c r="K36" s="24" t="inlineStr">
        <is>
          <t>No</t>
        </is>
      </c>
      <c r="L36" s="24" t="inlineStr">
        <is>
          <t>Third-party dependency</t>
        </is>
      </c>
    </row>
    <row r="37" ht="15" customHeight="1">
      <c r="A37" s="20" t="inlineStr">
        <is>
          <t>TIX-033</t>
        </is>
      </c>
      <c r="B37" s="20" t="inlineStr">
        <is>
          <t>C006</t>
        </is>
      </c>
      <c r="C37" s="20" t="inlineStr">
        <is>
          <t>Beacon Education</t>
        </is>
      </c>
      <c r="D37" s="21" t="n">
        <v>45101</v>
      </c>
      <c r="E37" s="21" t="n">
        <v>45113</v>
      </c>
      <c r="F37" s="20" t="inlineStr">
        <is>
          <t>High</t>
        </is>
      </c>
      <c r="G37" s="20" t="inlineStr">
        <is>
          <t>Compliance Query</t>
        </is>
      </c>
      <c r="H37" s="20" t="inlineStr">
        <is>
          <t>P006</t>
        </is>
      </c>
      <c r="I37" s="40">
        <f>E37-D37</f>
        <v/>
      </c>
      <c r="J37" s="34" t="n">
        <v>4</v>
      </c>
      <c r="K37" s="20" t="inlineStr">
        <is>
          <t>No</t>
        </is>
      </c>
      <c r="L37" s="20" t="inlineStr">
        <is>
          <t>Third-party dependency</t>
        </is>
      </c>
    </row>
    <row r="38" ht="15" customHeight="1">
      <c r="A38" s="24" t="inlineStr">
        <is>
          <t>TIX-034</t>
        </is>
      </c>
      <c r="B38" s="24" t="inlineStr">
        <is>
          <t>C006</t>
        </is>
      </c>
      <c r="C38" s="24" t="inlineStr">
        <is>
          <t>Beacon Education</t>
        </is>
      </c>
      <c r="D38" s="25" t="n">
        <v>44931</v>
      </c>
      <c r="E38" s="25" t="n">
        <v>44941</v>
      </c>
      <c r="F38" s="24" t="inlineStr">
        <is>
          <t>Low</t>
        </is>
      </c>
      <c r="G38" s="24" t="inlineStr">
        <is>
          <t>Configuration</t>
        </is>
      </c>
      <c r="H38" s="24" t="inlineStr">
        <is>
          <t>P010</t>
        </is>
      </c>
      <c r="I38" s="42">
        <f>E38-D38</f>
        <v/>
      </c>
      <c r="J38" s="35" t="n">
        <v>2</v>
      </c>
      <c r="K38" s="24" t="inlineStr">
        <is>
          <t>No</t>
        </is>
      </c>
      <c r="L38" s="24" t="inlineStr">
        <is>
          <t>User adoption gap</t>
        </is>
      </c>
    </row>
    <row r="39" ht="15" customHeight="1">
      <c r="A39" s="20" t="inlineStr">
        <is>
          <t>TIX-035</t>
        </is>
      </c>
      <c r="B39" s="20" t="inlineStr">
        <is>
          <t>C006</t>
        </is>
      </c>
      <c r="C39" s="20" t="inlineStr">
        <is>
          <t>Beacon Education</t>
        </is>
      </c>
      <c r="D39" s="21" t="n">
        <v>44950</v>
      </c>
      <c r="E39" s="21" t="n">
        <v>44957</v>
      </c>
      <c r="F39" s="20" t="inlineStr">
        <is>
          <t>Critical</t>
        </is>
      </c>
      <c r="G39" s="20" t="inlineStr">
        <is>
          <t>Access/Permissions</t>
        </is>
      </c>
      <c r="H39" s="20" t="inlineStr">
        <is>
          <t>P010</t>
        </is>
      </c>
      <c r="I39" s="40">
        <f>E39-D39</f>
        <v/>
      </c>
      <c r="J39" s="34" t="n">
        <v>3</v>
      </c>
      <c r="K39" s="20" t="inlineStr">
        <is>
          <t>No</t>
        </is>
      </c>
      <c r="L39" s="20" t="inlineStr">
        <is>
          <t>Integration defect</t>
        </is>
      </c>
    </row>
    <row r="40" ht="15" customHeight="1">
      <c r="A40" s="24" t="inlineStr">
        <is>
          <t>TIX-036</t>
        </is>
      </c>
      <c r="B40" s="24" t="inlineStr">
        <is>
          <t>C007</t>
        </is>
      </c>
      <c r="C40" s="24" t="inlineStr">
        <is>
          <t>Forge Industries</t>
        </is>
      </c>
      <c r="D40" s="25" t="n">
        <v>45222</v>
      </c>
      <c r="E40" s="25" t="n">
        <v>45229</v>
      </c>
      <c r="F40" s="24" t="inlineStr">
        <is>
          <t>Low</t>
        </is>
      </c>
      <c r="G40" s="24" t="inlineStr">
        <is>
          <t>Bug</t>
        </is>
      </c>
      <c r="H40" s="24" t="inlineStr">
        <is>
          <t>P009</t>
        </is>
      </c>
      <c r="I40" s="42">
        <f>E40-D40</f>
        <v/>
      </c>
      <c r="J40" s="35" t="n">
        <v>5</v>
      </c>
      <c r="K40" s="24" t="inlineStr">
        <is>
          <t>No</t>
        </is>
      </c>
      <c r="L40" s="24" t="inlineStr">
        <is>
          <t>Missing training</t>
        </is>
      </c>
    </row>
    <row r="41" ht="15" customHeight="1">
      <c r="A41" s="20" t="inlineStr">
        <is>
          <t>TIX-037</t>
        </is>
      </c>
      <c r="B41" s="20" t="inlineStr">
        <is>
          <t>C007</t>
        </is>
      </c>
      <c r="C41" s="20" t="inlineStr">
        <is>
          <t>Forge Industries</t>
        </is>
      </c>
      <c r="D41" s="21" t="n">
        <v>45098</v>
      </c>
      <c r="E41" s="21" t="n">
        <v>45106</v>
      </c>
      <c r="F41" s="20" t="inlineStr">
        <is>
          <t>Medium</t>
        </is>
      </c>
      <c r="G41" s="20" t="inlineStr">
        <is>
          <t>Access/Permissions</t>
        </is>
      </c>
      <c r="H41" s="20" t="inlineStr">
        <is>
          <t>P009</t>
        </is>
      </c>
      <c r="I41" s="40">
        <f>E41-D41</f>
        <v/>
      </c>
      <c r="J41" s="34" t="n">
        <v>5</v>
      </c>
      <c r="K41" s="20" t="inlineStr">
        <is>
          <t>No</t>
        </is>
      </c>
      <c r="L41" s="20" t="inlineStr">
        <is>
          <t>Configuration gap</t>
        </is>
      </c>
    </row>
    <row r="42" ht="15" customHeight="1">
      <c r="A42" s="24" t="inlineStr">
        <is>
          <t>TIX-038</t>
        </is>
      </c>
      <c r="B42" s="24" t="inlineStr">
        <is>
          <t>C007</t>
        </is>
      </c>
      <c r="C42" s="24" t="inlineStr">
        <is>
          <t>Forge Industries</t>
        </is>
      </c>
      <c r="D42" s="25" t="n">
        <v>45040</v>
      </c>
      <c r="E42" s="25" t="n">
        <v>45042</v>
      </c>
      <c r="F42" s="24" t="inlineStr">
        <is>
          <t>Critical</t>
        </is>
      </c>
      <c r="G42" s="24" t="inlineStr">
        <is>
          <t>User Error</t>
        </is>
      </c>
      <c r="H42" s="24" t="inlineStr">
        <is>
          <t>P009</t>
        </is>
      </c>
      <c r="I42" s="42">
        <f>E42-D42</f>
        <v/>
      </c>
      <c r="J42" s="35" t="n">
        <v>4</v>
      </c>
      <c r="K42" s="24" t="inlineStr">
        <is>
          <t>No</t>
        </is>
      </c>
      <c r="L42" s="24" t="inlineStr">
        <is>
          <t>Missing training</t>
        </is>
      </c>
    </row>
    <row r="43" ht="15" customHeight="1">
      <c r="A43" s="20" t="inlineStr">
        <is>
          <t>TIX-039</t>
        </is>
      </c>
      <c r="B43" s="20" t="inlineStr">
        <is>
          <t>C008</t>
        </is>
      </c>
      <c r="C43" s="20" t="inlineStr">
        <is>
          <t>Crestline Media</t>
        </is>
      </c>
      <c r="D43" s="21" t="n">
        <v>44928</v>
      </c>
      <c r="E43" s="21" t="n">
        <v>44945</v>
      </c>
      <c r="F43" s="20" t="inlineStr">
        <is>
          <t>Low</t>
        </is>
      </c>
      <c r="G43" s="20" t="inlineStr">
        <is>
          <t>Configuration</t>
        </is>
      </c>
      <c r="H43" s="20" t="inlineStr">
        <is>
          <t>P006</t>
        </is>
      </c>
      <c r="I43" s="40">
        <f>E43-D43</f>
        <v/>
      </c>
      <c r="J43" s="34" t="n">
        <v>1</v>
      </c>
      <c r="K43" s="20" t="inlineStr">
        <is>
          <t>No</t>
        </is>
      </c>
      <c r="L43" s="20" t="inlineStr">
        <is>
          <t>Process misalignment</t>
        </is>
      </c>
    </row>
    <row r="44" ht="15" customHeight="1">
      <c r="A44" s="24" t="inlineStr">
        <is>
          <t>TIX-040</t>
        </is>
      </c>
      <c r="B44" s="24" t="inlineStr">
        <is>
          <t>C008</t>
        </is>
      </c>
      <c r="C44" s="24" t="inlineStr">
        <is>
          <t>Crestline Media</t>
        </is>
      </c>
      <c r="D44" s="25" t="n">
        <v>44993</v>
      </c>
      <c r="E44" s="25" t="n">
        <v>45011</v>
      </c>
      <c r="F44" s="24" t="inlineStr">
        <is>
          <t>Medium</t>
        </is>
      </c>
      <c r="G44" s="24" t="inlineStr">
        <is>
          <t>Data Migration</t>
        </is>
      </c>
      <c r="H44" s="24" t="inlineStr">
        <is>
          <t>P006</t>
        </is>
      </c>
      <c r="I44" s="42">
        <f>E44-D44</f>
        <v/>
      </c>
      <c r="J44" s="35" t="n">
        <v>3</v>
      </c>
      <c r="K44" s="24" t="inlineStr">
        <is>
          <t>No</t>
        </is>
      </c>
      <c r="L44" s="24" t="inlineStr">
        <is>
          <t>Integration defect</t>
        </is>
      </c>
    </row>
    <row r="45" ht="15" customHeight="1">
      <c r="A45" s="20" t="inlineStr">
        <is>
          <t>TIX-041</t>
        </is>
      </c>
      <c r="B45" s="20" t="inlineStr">
        <is>
          <t>C008</t>
        </is>
      </c>
      <c r="C45" s="20" t="inlineStr">
        <is>
          <t>Crestline Media</t>
        </is>
      </c>
      <c r="D45" s="21" t="n">
        <v>45227</v>
      </c>
      <c r="E45" s="21" t="n">
        <v>45245</v>
      </c>
      <c r="F45" s="20" t="inlineStr">
        <is>
          <t>High</t>
        </is>
      </c>
      <c r="G45" s="20" t="inlineStr">
        <is>
          <t>Configuration</t>
        </is>
      </c>
      <c r="H45" s="20" t="inlineStr">
        <is>
          <t>P008</t>
        </is>
      </c>
      <c r="I45" s="40">
        <f>E45-D45</f>
        <v/>
      </c>
      <c r="J45" s="34" t="n">
        <v>3</v>
      </c>
      <c r="K45" s="20" t="inlineStr">
        <is>
          <t>No</t>
        </is>
      </c>
      <c r="L45" s="20" t="inlineStr">
        <is>
          <t>Product limitation</t>
        </is>
      </c>
    </row>
    <row r="46" ht="15" customHeight="1">
      <c r="A46" s="24" t="inlineStr">
        <is>
          <t>TIX-042</t>
        </is>
      </c>
      <c r="B46" s="24" t="inlineStr">
        <is>
          <t>C008</t>
        </is>
      </c>
      <c r="C46" s="24" t="inlineStr">
        <is>
          <t>Crestline Media</t>
        </is>
      </c>
      <c r="D46" s="25" t="n">
        <v>45159</v>
      </c>
      <c r="E46" s="25" t="n">
        <v>45175</v>
      </c>
      <c r="F46" s="24" t="inlineStr">
        <is>
          <t>Low</t>
        </is>
      </c>
      <c r="G46" s="24" t="inlineStr">
        <is>
          <t>Configuration</t>
        </is>
      </c>
      <c r="H46" s="24" t="inlineStr">
        <is>
          <t>P008</t>
        </is>
      </c>
      <c r="I46" s="42">
        <f>E46-D46</f>
        <v/>
      </c>
      <c r="J46" s="35" t="n">
        <v>2</v>
      </c>
      <c r="K46" s="24" t="inlineStr">
        <is>
          <t>No</t>
        </is>
      </c>
      <c r="L46" s="24" t="inlineStr">
        <is>
          <t>Process misalignment</t>
        </is>
      </c>
    </row>
    <row r="47" ht="15" customHeight="1">
      <c r="A47" s="20" t="inlineStr">
        <is>
          <t>TIX-043</t>
        </is>
      </c>
      <c r="B47" s="20" t="inlineStr">
        <is>
          <t>C008</t>
        </is>
      </c>
      <c r="C47" s="20" t="inlineStr">
        <is>
          <t>Crestline Media</t>
        </is>
      </c>
      <c r="D47" s="21" t="n">
        <v>45248</v>
      </c>
      <c r="E47" s="21" t="n">
        <v>45262</v>
      </c>
      <c r="F47" s="20" t="inlineStr">
        <is>
          <t>Critical</t>
        </is>
      </c>
      <c r="G47" s="20" t="inlineStr">
        <is>
          <t>Feature Request</t>
        </is>
      </c>
      <c r="H47" s="20" t="inlineStr">
        <is>
          <t>P006</t>
        </is>
      </c>
      <c r="I47" s="40">
        <f>E47-D47</f>
        <v/>
      </c>
      <c r="J47" s="34" t="n">
        <v>1</v>
      </c>
      <c r="K47" s="20" t="inlineStr">
        <is>
          <t>Yes</t>
        </is>
      </c>
      <c r="L47" s="20" t="inlineStr">
        <is>
          <t>User adoption gap</t>
        </is>
      </c>
    </row>
    <row r="48" ht="15" customHeight="1">
      <c r="A48" s="24" t="inlineStr">
        <is>
          <t>TIX-044</t>
        </is>
      </c>
      <c r="B48" s="24" t="inlineStr">
        <is>
          <t>C008</t>
        </is>
      </c>
      <c r="C48" s="24" t="inlineStr">
        <is>
          <t>Crestline Media</t>
        </is>
      </c>
      <c r="D48" s="25" t="n">
        <v>45269</v>
      </c>
      <c r="E48" s="25" t="n">
        <v>45288</v>
      </c>
      <c r="F48" s="24" t="inlineStr">
        <is>
          <t>Medium</t>
        </is>
      </c>
      <c r="G48" s="24" t="inlineStr">
        <is>
          <t>Bug</t>
        </is>
      </c>
      <c r="H48" s="24" t="inlineStr">
        <is>
          <t>P006</t>
        </is>
      </c>
      <c r="I48" s="42">
        <f>E48-D48</f>
        <v/>
      </c>
      <c r="J48" s="35" t="n">
        <v>2</v>
      </c>
      <c r="K48" s="24" t="inlineStr">
        <is>
          <t>No</t>
        </is>
      </c>
      <c r="L48" s="24" t="inlineStr">
        <is>
          <t>Product limitation</t>
        </is>
      </c>
    </row>
    <row r="49" ht="15" customHeight="1">
      <c r="A49" s="20" t="inlineStr">
        <is>
          <t>TIX-045</t>
        </is>
      </c>
      <c r="B49" s="20" t="inlineStr">
        <is>
          <t>C008</t>
        </is>
      </c>
      <c r="C49" s="20" t="inlineStr">
        <is>
          <t>Crestline Media</t>
        </is>
      </c>
      <c r="D49" s="21" t="n">
        <v>45029</v>
      </c>
      <c r="E49" s="21" t="n">
        <v>45046</v>
      </c>
      <c r="F49" s="20" t="inlineStr">
        <is>
          <t>Low</t>
        </is>
      </c>
      <c r="G49" s="20" t="inlineStr">
        <is>
          <t>Feature Request</t>
        </is>
      </c>
      <c r="H49" s="20" t="inlineStr">
        <is>
          <t>P008</t>
        </is>
      </c>
      <c r="I49" s="40">
        <f>E49-D49</f>
        <v/>
      </c>
      <c r="J49" s="34" t="n">
        <v>3</v>
      </c>
      <c r="K49" s="20" t="inlineStr">
        <is>
          <t>No</t>
        </is>
      </c>
      <c r="L49" s="20" t="inlineStr">
        <is>
          <t>Process misalignment</t>
        </is>
      </c>
    </row>
    <row r="50" ht="15" customHeight="1">
      <c r="A50" s="24" t="inlineStr">
        <is>
          <t>TIX-046</t>
        </is>
      </c>
      <c r="B50" s="24" t="inlineStr">
        <is>
          <t>C008</t>
        </is>
      </c>
      <c r="C50" s="24" t="inlineStr">
        <is>
          <t>Crestline Media</t>
        </is>
      </c>
      <c r="D50" s="25" t="n">
        <v>45047</v>
      </c>
      <c r="E50" s="25" t="n">
        <v>45059</v>
      </c>
      <c r="F50" s="24" t="inlineStr">
        <is>
          <t>Medium</t>
        </is>
      </c>
      <c r="G50" s="24" t="inlineStr">
        <is>
          <t>Integration Issue</t>
        </is>
      </c>
      <c r="H50" s="24" t="inlineStr">
        <is>
          <t>P006</t>
        </is>
      </c>
      <c r="I50" s="42">
        <f>E50-D50</f>
        <v/>
      </c>
      <c r="J50" s="35" t="n">
        <v>3</v>
      </c>
      <c r="K50" s="24" t="inlineStr">
        <is>
          <t>No</t>
        </is>
      </c>
      <c r="L50" s="24" t="inlineStr">
        <is>
          <t>User adoption gap</t>
        </is>
      </c>
    </row>
    <row r="51" ht="15" customHeight="1">
      <c r="A51" s="20" t="inlineStr">
        <is>
          <t>TIX-047</t>
        </is>
      </c>
      <c r="B51" s="20" t="inlineStr">
        <is>
          <t>C009</t>
        </is>
      </c>
      <c r="C51" s="20" t="inlineStr">
        <is>
          <t>Summit Energy</t>
        </is>
      </c>
      <c r="D51" s="21" t="n">
        <v>45237</v>
      </c>
      <c r="E51" s="21" t="n">
        <v>45242</v>
      </c>
      <c r="F51" s="20" t="inlineStr">
        <is>
          <t>High</t>
        </is>
      </c>
      <c r="G51" s="20" t="inlineStr">
        <is>
          <t>Data Migration</t>
        </is>
      </c>
      <c r="H51" s="20" t="inlineStr">
        <is>
          <t>P003</t>
        </is>
      </c>
      <c r="I51" s="40">
        <f>E51-D51</f>
        <v/>
      </c>
      <c r="J51" s="34" t="n">
        <v>5</v>
      </c>
      <c r="K51" s="20" t="inlineStr">
        <is>
          <t>No</t>
        </is>
      </c>
      <c r="L51" s="20" t="inlineStr">
        <is>
          <t>Integration defect</t>
        </is>
      </c>
    </row>
    <row r="52" ht="15" customHeight="1">
      <c r="A52" s="24" t="inlineStr">
        <is>
          <t>TIX-048</t>
        </is>
      </c>
      <c r="B52" s="24" t="inlineStr">
        <is>
          <t>C009</t>
        </is>
      </c>
      <c r="C52" s="24" t="inlineStr">
        <is>
          <t>Summit Energy</t>
        </is>
      </c>
      <c r="D52" s="25" t="n">
        <v>45140</v>
      </c>
      <c r="E52" s="25" t="n">
        <v>45146</v>
      </c>
      <c r="F52" s="24" t="inlineStr">
        <is>
          <t>Critical</t>
        </is>
      </c>
      <c r="G52" s="24" t="inlineStr">
        <is>
          <t>Integration Issue</t>
        </is>
      </c>
      <c r="H52" s="24" t="inlineStr">
        <is>
          <t>P005</t>
        </is>
      </c>
      <c r="I52" s="42">
        <f>E52-D52</f>
        <v/>
      </c>
      <c r="J52" s="35" t="n">
        <v>5</v>
      </c>
      <c r="K52" s="24" t="inlineStr">
        <is>
          <t>No</t>
        </is>
      </c>
      <c r="L52" s="24" t="inlineStr">
        <is>
          <t>Integration defect</t>
        </is>
      </c>
    </row>
    <row r="53" ht="15" customHeight="1">
      <c r="A53" s="20" t="inlineStr">
        <is>
          <t>TIX-049</t>
        </is>
      </c>
      <c r="B53" s="20" t="inlineStr">
        <is>
          <t>C009</t>
        </is>
      </c>
      <c r="C53" s="20" t="inlineStr">
        <is>
          <t>Summit Energy</t>
        </is>
      </c>
      <c r="D53" s="21" t="n">
        <v>45274</v>
      </c>
      <c r="E53" s="21" t="n">
        <v>45277</v>
      </c>
      <c r="F53" s="20" t="inlineStr">
        <is>
          <t>Critical</t>
        </is>
      </c>
      <c r="G53" s="20" t="inlineStr">
        <is>
          <t>Bug</t>
        </is>
      </c>
      <c r="H53" s="20" t="inlineStr">
        <is>
          <t>P005</t>
        </is>
      </c>
      <c r="I53" s="40">
        <f>E53-D53</f>
        <v/>
      </c>
      <c r="J53" s="34" t="n">
        <v>3</v>
      </c>
      <c r="K53" s="20" t="inlineStr">
        <is>
          <t>No</t>
        </is>
      </c>
      <c r="L53" s="20" t="inlineStr">
        <is>
          <t>Integration defect</t>
        </is>
      </c>
    </row>
    <row r="54" ht="15" customHeight="1">
      <c r="A54" s="24" t="inlineStr">
        <is>
          <t>TIX-050</t>
        </is>
      </c>
      <c r="B54" s="24" t="inlineStr">
        <is>
          <t>C009</t>
        </is>
      </c>
      <c r="C54" s="24" t="inlineStr">
        <is>
          <t>Summit Energy</t>
        </is>
      </c>
      <c r="D54" s="25" t="n">
        <v>44994</v>
      </c>
      <c r="E54" s="25" t="n">
        <v>45002</v>
      </c>
      <c r="F54" s="24" t="inlineStr">
        <is>
          <t>Medium</t>
        </is>
      </c>
      <c r="G54" s="24" t="inlineStr">
        <is>
          <t>Access/Permissions</t>
        </is>
      </c>
      <c r="H54" s="24" t="inlineStr">
        <is>
          <t>P005</t>
        </is>
      </c>
      <c r="I54" s="42">
        <f>E54-D54</f>
        <v/>
      </c>
      <c r="J54" s="35" t="n">
        <v>4</v>
      </c>
      <c r="K54" s="24" t="inlineStr">
        <is>
          <t>No</t>
        </is>
      </c>
      <c r="L54" s="24" t="inlineStr">
        <is>
          <t>Data quality issue</t>
        </is>
      </c>
    </row>
    <row r="55" ht="15" customHeight="1">
      <c r="A55" s="20" t="inlineStr">
        <is>
          <t>TIX-051</t>
        </is>
      </c>
      <c r="B55" s="20" t="inlineStr">
        <is>
          <t>C010</t>
        </is>
      </c>
      <c r="C55" s="20" t="inlineStr">
        <is>
          <t>Vantage Tech</t>
        </is>
      </c>
      <c r="D55" s="21" t="n">
        <v>45044</v>
      </c>
      <c r="E55" s="21" t="n">
        <v>45055</v>
      </c>
      <c r="F55" s="20" t="inlineStr">
        <is>
          <t>Low</t>
        </is>
      </c>
      <c r="G55" s="20" t="inlineStr">
        <is>
          <t>Performance</t>
        </is>
      </c>
      <c r="H55" s="20" t="inlineStr">
        <is>
          <t>P012</t>
        </is>
      </c>
      <c r="I55" s="40">
        <f>E55-D55</f>
        <v/>
      </c>
      <c r="J55" s="34" t="n">
        <v>4</v>
      </c>
      <c r="K55" s="20" t="inlineStr">
        <is>
          <t>No</t>
        </is>
      </c>
      <c r="L55" s="20" t="inlineStr">
        <is>
          <t>Data quality issue</t>
        </is>
      </c>
    </row>
    <row r="56" ht="15" customHeight="1">
      <c r="A56" s="24" t="inlineStr">
        <is>
          <t>TIX-052</t>
        </is>
      </c>
      <c r="B56" s="24" t="inlineStr">
        <is>
          <t>C010</t>
        </is>
      </c>
      <c r="C56" s="24" t="inlineStr">
        <is>
          <t>Vantage Tech</t>
        </is>
      </c>
      <c r="D56" s="25" t="n">
        <v>45064</v>
      </c>
      <c r="E56" s="25" t="n">
        <v>45070</v>
      </c>
      <c r="F56" s="24" t="inlineStr">
        <is>
          <t>Critical</t>
        </is>
      </c>
      <c r="G56" s="24" t="inlineStr">
        <is>
          <t>Compliance Query</t>
        </is>
      </c>
      <c r="H56" s="24" t="inlineStr">
        <is>
          <t>P012</t>
        </is>
      </c>
      <c r="I56" s="42">
        <f>E56-D56</f>
        <v/>
      </c>
      <c r="J56" s="35" t="n">
        <v>3</v>
      </c>
      <c r="K56" s="24" t="inlineStr">
        <is>
          <t>No</t>
        </is>
      </c>
      <c r="L56" s="24" t="inlineStr">
        <is>
          <t>Data quality issue</t>
        </is>
      </c>
    </row>
    <row r="57" ht="15" customHeight="1">
      <c r="A57" s="20" t="inlineStr">
        <is>
          <t>TIX-053</t>
        </is>
      </c>
      <c r="B57" s="20" t="inlineStr">
        <is>
          <t>C010</t>
        </is>
      </c>
      <c r="C57" s="20" t="inlineStr">
        <is>
          <t>Vantage Tech</t>
        </is>
      </c>
      <c r="D57" s="21" t="n">
        <v>44979</v>
      </c>
      <c r="E57" s="21" t="n">
        <v>44987</v>
      </c>
      <c r="F57" s="20" t="inlineStr">
        <is>
          <t>Medium</t>
        </is>
      </c>
      <c r="G57" s="20" t="inlineStr">
        <is>
          <t>Compliance Query</t>
        </is>
      </c>
      <c r="H57" s="20" t="inlineStr">
        <is>
          <t>P005</t>
        </is>
      </c>
      <c r="I57" s="40">
        <f>E57-D57</f>
        <v/>
      </c>
      <c r="J57" s="34" t="n">
        <v>3</v>
      </c>
      <c r="K57" s="20" t="inlineStr">
        <is>
          <t>No</t>
        </is>
      </c>
      <c r="L57" s="20" t="inlineStr">
        <is>
          <t>Configuration gap</t>
        </is>
      </c>
    </row>
    <row r="58" ht="15" customHeight="1">
      <c r="A58" s="24" t="inlineStr">
        <is>
          <t>TIX-054</t>
        </is>
      </c>
      <c r="B58" s="24" t="inlineStr">
        <is>
          <t>C010</t>
        </is>
      </c>
      <c r="C58" s="24" t="inlineStr">
        <is>
          <t>Vantage Tech</t>
        </is>
      </c>
      <c r="D58" s="25" t="n">
        <v>45257</v>
      </c>
      <c r="E58" s="25" t="n">
        <v>45269</v>
      </c>
      <c r="F58" s="24" t="inlineStr">
        <is>
          <t>Medium</t>
        </is>
      </c>
      <c r="G58" s="24" t="inlineStr">
        <is>
          <t>User Error</t>
        </is>
      </c>
      <c r="H58" s="24" t="inlineStr">
        <is>
          <t>P012</t>
        </is>
      </c>
      <c r="I58" s="42">
        <f>E58-D58</f>
        <v/>
      </c>
      <c r="J58" s="35" t="n">
        <v>4</v>
      </c>
      <c r="K58" s="24" t="inlineStr">
        <is>
          <t>No</t>
        </is>
      </c>
      <c r="L58" s="24" t="inlineStr">
        <is>
          <t>Process misalignment</t>
        </is>
      </c>
    </row>
    <row r="59" ht="15" customHeight="1">
      <c r="A59" s="20" t="inlineStr">
        <is>
          <t>TIX-055</t>
        </is>
      </c>
      <c r="B59" s="20" t="inlineStr">
        <is>
          <t>C010</t>
        </is>
      </c>
      <c r="C59" s="20" t="inlineStr">
        <is>
          <t>Vantage Tech</t>
        </is>
      </c>
      <c r="D59" s="21" t="n">
        <v>44928</v>
      </c>
      <c r="E59" s="21" t="n">
        <v>44937</v>
      </c>
      <c r="F59" s="20" t="inlineStr">
        <is>
          <t>Low</t>
        </is>
      </c>
      <c r="G59" s="20" t="inlineStr">
        <is>
          <t>Performance</t>
        </is>
      </c>
      <c r="H59" s="20" t="inlineStr">
        <is>
          <t>P012</t>
        </is>
      </c>
      <c r="I59" s="40">
        <f>E59-D59</f>
        <v/>
      </c>
      <c r="J59" s="34" t="n">
        <v>3</v>
      </c>
      <c r="K59" s="20" t="inlineStr">
        <is>
          <t>No</t>
        </is>
      </c>
      <c r="L59" s="20" t="inlineStr">
        <is>
          <t>Missing training</t>
        </is>
      </c>
    </row>
    <row r="60" ht="15" customHeight="1">
      <c r="A60" s="24" t="inlineStr">
        <is>
          <t>TIX-056</t>
        </is>
      </c>
      <c r="B60" s="24" t="inlineStr">
        <is>
          <t>C011</t>
        </is>
      </c>
      <c r="C60" s="24" t="inlineStr">
        <is>
          <t>Horizon Pharma</t>
        </is>
      </c>
      <c r="D60" s="25" t="n">
        <v>45122</v>
      </c>
      <c r="E60" s="25" t="n">
        <v>45128</v>
      </c>
      <c r="F60" s="24" t="inlineStr">
        <is>
          <t>High</t>
        </is>
      </c>
      <c r="G60" s="24" t="inlineStr">
        <is>
          <t>Access/Permissions</t>
        </is>
      </c>
      <c r="H60" s="24" t="inlineStr">
        <is>
          <t>P003</t>
        </is>
      </c>
      <c r="I60" s="42">
        <f>E60-D60</f>
        <v/>
      </c>
      <c r="J60" s="35" t="n">
        <v>5</v>
      </c>
      <c r="K60" s="24" t="inlineStr">
        <is>
          <t>No</t>
        </is>
      </c>
      <c r="L60" s="24" t="inlineStr">
        <is>
          <t>Third-party dependency</t>
        </is>
      </c>
    </row>
    <row r="61" ht="15" customHeight="1">
      <c r="A61" s="20" t="inlineStr">
        <is>
          <t>TIX-057</t>
        </is>
      </c>
      <c r="B61" s="20" t="inlineStr">
        <is>
          <t>C011</t>
        </is>
      </c>
      <c r="C61" s="20" t="inlineStr">
        <is>
          <t>Horizon Pharma</t>
        </is>
      </c>
      <c r="D61" s="21" t="n">
        <v>45158</v>
      </c>
      <c r="E61" s="21" t="n">
        <v>45165</v>
      </c>
      <c r="F61" s="20" t="inlineStr">
        <is>
          <t>High</t>
        </is>
      </c>
      <c r="G61" s="20" t="inlineStr">
        <is>
          <t>Compliance Query</t>
        </is>
      </c>
      <c r="H61" s="20" t="inlineStr">
        <is>
          <t>P003</t>
        </is>
      </c>
      <c r="I61" s="40">
        <f>E61-D61</f>
        <v/>
      </c>
      <c r="J61" s="34" t="n">
        <v>4</v>
      </c>
      <c r="K61" s="20" t="inlineStr">
        <is>
          <t>No</t>
        </is>
      </c>
      <c r="L61" s="20" t="inlineStr">
        <is>
          <t>Configuration gap</t>
        </is>
      </c>
    </row>
    <row r="62" ht="15" customHeight="1">
      <c r="A62" s="24" t="inlineStr">
        <is>
          <t>TIX-058</t>
        </is>
      </c>
      <c r="B62" s="24" t="inlineStr">
        <is>
          <t>C011</t>
        </is>
      </c>
      <c r="C62" s="24" t="inlineStr">
        <is>
          <t>Horizon Pharma</t>
        </is>
      </c>
      <c r="D62" s="25" t="n">
        <v>45146</v>
      </c>
      <c r="E62" s="25" t="n">
        <v>45152</v>
      </c>
      <c r="F62" s="24" t="inlineStr">
        <is>
          <t>Medium</t>
        </is>
      </c>
      <c r="G62" s="24" t="inlineStr">
        <is>
          <t>User Error</t>
        </is>
      </c>
      <c r="H62" s="24" t="inlineStr">
        <is>
          <t>P009</t>
        </is>
      </c>
      <c r="I62" s="42">
        <f>E62-D62</f>
        <v/>
      </c>
      <c r="J62" s="35" t="n">
        <v>3</v>
      </c>
      <c r="K62" s="24" t="inlineStr">
        <is>
          <t>No</t>
        </is>
      </c>
      <c r="L62" s="24" t="inlineStr">
        <is>
          <t>Data quality issue</t>
        </is>
      </c>
    </row>
    <row r="63" ht="15" customHeight="1">
      <c r="A63" s="20" t="inlineStr">
        <is>
          <t>TIX-059</t>
        </is>
      </c>
      <c r="B63" s="20" t="inlineStr">
        <is>
          <t>C012</t>
        </is>
      </c>
      <c r="C63" s="20" t="inlineStr">
        <is>
          <t>Keystone Bank</t>
        </is>
      </c>
      <c r="D63" s="21" t="n">
        <v>45053</v>
      </c>
      <c r="E63" s="21" t="n">
        <v>45066</v>
      </c>
      <c r="F63" s="20" t="inlineStr">
        <is>
          <t>Medium</t>
        </is>
      </c>
      <c r="G63" s="20" t="inlineStr">
        <is>
          <t>Integration Issue</t>
        </is>
      </c>
      <c r="H63" s="20" t="inlineStr">
        <is>
          <t>P010</t>
        </is>
      </c>
      <c r="I63" s="40">
        <f>E63-D63</f>
        <v/>
      </c>
      <c r="J63" s="34" t="n">
        <v>2</v>
      </c>
      <c r="K63" s="20" t="inlineStr">
        <is>
          <t>No</t>
        </is>
      </c>
      <c r="L63" s="20" t="inlineStr">
        <is>
          <t>Missing training</t>
        </is>
      </c>
    </row>
    <row r="64" ht="15" customHeight="1">
      <c r="A64" s="24" t="inlineStr">
        <is>
          <t>TIX-060</t>
        </is>
      </c>
      <c r="B64" s="24" t="inlineStr">
        <is>
          <t>C012</t>
        </is>
      </c>
      <c r="C64" s="24" t="inlineStr">
        <is>
          <t>Keystone Bank</t>
        </is>
      </c>
      <c r="D64" s="25" t="n">
        <v>45085</v>
      </c>
      <c r="E64" s="25" t="n">
        <v>45099</v>
      </c>
      <c r="F64" s="24" t="inlineStr">
        <is>
          <t>High</t>
        </is>
      </c>
      <c r="G64" s="24" t="inlineStr">
        <is>
          <t>Integration Issue</t>
        </is>
      </c>
      <c r="H64" s="24" t="inlineStr">
        <is>
          <t>P008</t>
        </is>
      </c>
      <c r="I64" s="42">
        <f>E64-D64</f>
        <v/>
      </c>
      <c r="J64" s="35" t="n">
        <v>3</v>
      </c>
      <c r="K64" s="24" t="inlineStr">
        <is>
          <t>No</t>
        </is>
      </c>
      <c r="L64" s="24" t="inlineStr">
        <is>
          <t>Product limitation</t>
        </is>
      </c>
    </row>
    <row r="65" ht="15" customHeight="1">
      <c r="A65" s="20" t="inlineStr">
        <is>
          <t>TIX-061</t>
        </is>
      </c>
      <c r="B65" s="20" t="inlineStr">
        <is>
          <t>C012</t>
        </is>
      </c>
      <c r="C65" s="20" t="inlineStr">
        <is>
          <t>Keystone Bank</t>
        </is>
      </c>
      <c r="D65" s="21" t="n">
        <v>45206</v>
      </c>
      <c r="E65" s="21" t="n">
        <v>45221</v>
      </c>
      <c r="F65" s="20" t="inlineStr">
        <is>
          <t>Critical</t>
        </is>
      </c>
      <c r="G65" s="20" t="inlineStr">
        <is>
          <t>Access/Permissions</t>
        </is>
      </c>
      <c r="H65" s="20" t="inlineStr">
        <is>
          <t>P008</t>
        </is>
      </c>
      <c r="I65" s="40">
        <f>E65-D65</f>
        <v/>
      </c>
      <c r="J65" s="34" t="n">
        <v>2</v>
      </c>
      <c r="K65" s="20" t="inlineStr">
        <is>
          <t>Yes</t>
        </is>
      </c>
      <c r="L65" s="20" t="inlineStr">
        <is>
          <t>Integration defect</t>
        </is>
      </c>
    </row>
    <row r="66" ht="15" customHeight="1">
      <c r="A66" s="24" t="inlineStr">
        <is>
          <t>TIX-062</t>
        </is>
      </c>
      <c r="B66" s="24" t="inlineStr">
        <is>
          <t>C012</t>
        </is>
      </c>
      <c r="C66" s="24" t="inlineStr">
        <is>
          <t>Keystone Bank</t>
        </is>
      </c>
      <c r="D66" s="25" t="n">
        <v>45003</v>
      </c>
      <c r="E66" s="25" t="n">
        <v>45019</v>
      </c>
      <c r="F66" s="24" t="inlineStr">
        <is>
          <t>Critical</t>
        </is>
      </c>
      <c r="G66" s="24" t="inlineStr">
        <is>
          <t>Bug</t>
        </is>
      </c>
      <c r="H66" s="24" t="inlineStr">
        <is>
          <t>P008</t>
        </is>
      </c>
      <c r="I66" s="42">
        <f>E66-D66</f>
        <v/>
      </c>
      <c r="J66" s="35" t="n">
        <v>1</v>
      </c>
      <c r="K66" s="24" t="inlineStr">
        <is>
          <t>Yes</t>
        </is>
      </c>
      <c r="L66" s="24" t="inlineStr">
        <is>
          <t>Missing training</t>
        </is>
      </c>
    </row>
    <row r="67" ht="15" customHeight="1">
      <c r="A67" s="20" t="inlineStr">
        <is>
          <t>TIX-063</t>
        </is>
      </c>
      <c r="B67" s="20" t="inlineStr">
        <is>
          <t>C012</t>
        </is>
      </c>
      <c r="C67" s="20" t="inlineStr">
        <is>
          <t>Keystone Bank</t>
        </is>
      </c>
      <c r="D67" s="21" t="n">
        <v>45103</v>
      </c>
      <c r="E67" s="21" t="n">
        <v>45118</v>
      </c>
      <c r="F67" s="20" t="inlineStr">
        <is>
          <t>Critical</t>
        </is>
      </c>
      <c r="G67" s="20" t="inlineStr">
        <is>
          <t>Configuration</t>
        </is>
      </c>
      <c r="H67" s="20" t="inlineStr">
        <is>
          <t>P008</t>
        </is>
      </c>
      <c r="I67" s="40">
        <f>E67-D67</f>
        <v/>
      </c>
      <c r="J67" s="34" t="n">
        <v>3</v>
      </c>
      <c r="K67" s="20" t="inlineStr">
        <is>
          <t>No</t>
        </is>
      </c>
      <c r="L67" s="20" t="inlineStr">
        <is>
          <t>Data quality issue</t>
        </is>
      </c>
    </row>
    <row r="68" ht="15" customHeight="1">
      <c r="A68" s="24" t="inlineStr">
        <is>
          <t>TIX-064</t>
        </is>
      </c>
      <c r="B68" s="24" t="inlineStr">
        <is>
          <t>C012</t>
        </is>
      </c>
      <c r="C68" s="24" t="inlineStr">
        <is>
          <t>Keystone Bank</t>
        </is>
      </c>
      <c r="D68" s="25" t="n">
        <v>44931</v>
      </c>
      <c r="E68" s="25" t="n">
        <v>44949</v>
      </c>
      <c r="F68" s="24" t="inlineStr">
        <is>
          <t>Critical</t>
        </is>
      </c>
      <c r="G68" s="24" t="inlineStr">
        <is>
          <t>Configuration</t>
        </is>
      </c>
      <c r="H68" s="24" t="inlineStr">
        <is>
          <t>P010</t>
        </is>
      </c>
      <c r="I68" s="42">
        <f>E68-D68</f>
        <v/>
      </c>
      <c r="J68" s="35" t="n">
        <v>3</v>
      </c>
      <c r="K68" s="24" t="inlineStr">
        <is>
          <t>No</t>
        </is>
      </c>
      <c r="L68" s="24" t="inlineStr">
        <is>
          <t>Missing training</t>
        </is>
      </c>
    </row>
    <row r="69" ht="15" customHeight="1">
      <c r="A69" s="20" t="inlineStr">
        <is>
          <t>TIX-065</t>
        </is>
      </c>
      <c r="B69" s="20" t="inlineStr">
        <is>
          <t>C012</t>
        </is>
      </c>
      <c r="C69" s="20" t="inlineStr">
        <is>
          <t>Keystone Bank</t>
        </is>
      </c>
      <c r="D69" s="21" t="n">
        <v>45094</v>
      </c>
      <c r="E69" s="21" t="n">
        <v>45107</v>
      </c>
      <c r="F69" s="20" t="inlineStr">
        <is>
          <t>Critical</t>
        </is>
      </c>
      <c r="G69" s="20" t="inlineStr">
        <is>
          <t>Feature Request</t>
        </is>
      </c>
      <c r="H69" s="20" t="inlineStr">
        <is>
          <t>P010</t>
        </is>
      </c>
      <c r="I69" s="40">
        <f>E69-D69</f>
        <v/>
      </c>
      <c r="J69" s="34" t="n">
        <v>2</v>
      </c>
      <c r="K69" s="20" t="inlineStr">
        <is>
          <t>Yes</t>
        </is>
      </c>
      <c r="L69" s="20" t="inlineStr">
        <is>
          <t>Product limitation</t>
        </is>
      </c>
    </row>
    <row r="70" ht="15" customHeight="1">
      <c r="A70" s="24" t="inlineStr">
        <is>
          <t>TIX-066</t>
        </is>
      </c>
      <c r="B70" s="24" t="inlineStr">
        <is>
          <t>C012</t>
        </is>
      </c>
      <c r="C70" s="24" t="inlineStr">
        <is>
          <t>Keystone Bank</t>
        </is>
      </c>
      <c r="D70" s="25" t="n">
        <v>45159</v>
      </c>
      <c r="E70" s="25" t="n">
        <v>45171</v>
      </c>
      <c r="F70" s="24" t="inlineStr">
        <is>
          <t>Critical</t>
        </is>
      </c>
      <c r="G70" s="24" t="inlineStr">
        <is>
          <t>Access/Permissions</t>
        </is>
      </c>
      <c r="H70" s="24" t="inlineStr">
        <is>
          <t>P010</t>
        </is>
      </c>
      <c r="I70" s="42">
        <f>E70-D70</f>
        <v/>
      </c>
      <c r="J70" s="35" t="n">
        <v>1</v>
      </c>
      <c r="K70" s="24" t="inlineStr">
        <is>
          <t>Yes</t>
        </is>
      </c>
      <c r="L70" s="24" t="inlineStr">
        <is>
          <t>User adoption gap</t>
        </is>
      </c>
    </row>
    <row r="71" ht="15" customHeight="1">
      <c r="A71" s="20" t="inlineStr">
        <is>
          <t>TIX-067</t>
        </is>
      </c>
      <c r="B71" s="20" t="inlineStr">
        <is>
          <t>C012</t>
        </is>
      </c>
      <c r="C71" s="20" t="inlineStr">
        <is>
          <t>Keystone Bank</t>
        </is>
      </c>
      <c r="D71" s="21" t="n">
        <v>45161</v>
      </c>
      <c r="E71" s="21" t="n">
        <v>45180</v>
      </c>
      <c r="F71" s="20" t="inlineStr">
        <is>
          <t>Low</t>
        </is>
      </c>
      <c r="G71" s="20" t="inlineStr">
        <is>
          <t>Compliance Query</t>
        </is>
      </c>
      <c r="H71" s="20" t="inlineStr">
        <is>
          <t>P008</t>
        </is>
      </c>
      <c r="I71" s="40">
        <f>E71-D71</f>
        <v/>
      </c>
      <c r="J71" s="34" t="n">
        <v>1</v>
      </c>
      <c r="K71" s="20" t="inlineStr">
        <is>
          <t>No</t>
        </is>
      </c>
      <c r="L71" s="20" t="inlineStr">
        <is>
          <t>Missing training</t>
        </is>
      </c>
    </row>
    <row r="72" ht="15" customHeight="1">
      <c r="A72" s="24" t="inlineStr">
        <is>
          <t>TIX-068</t>
        </is>
      </c>
      <c r="B72" s="24" t="inlineStr">
        <is>
          <t>C012</t>
        </is>
      </c>
      <c r="C72" s="24" t="inlineStr">
        <is>
          <t>Keystone Bank</t>
        </is>
      </c>
      <c r="D72" s="25" t="n">
        <v>44994</v>
      </c>
      <c r="E72" s="25" t="n">
        <v>45011</v>
      </c>
      <c r="F72" s="24" t="inlineStr">
        <is>
          <t>Medium</t>
        </is>
      </c>
      <c r="G72" s="24" t="inlineStr">
        <is>
          <t>Configuration</t>
        </is>
      </c>
      <c r="H72" s="24" t="inlineStr">
        <is>
          <t>P008</t>
        </is>
      </c>
      <c r="I72" s="42">
        <f>E72-D72</f>
        <v/>
      </c>
      <c r="J72" s="35" t="n">
        <v>2</v>
      </c>
      <c r="K72" s="24" t="inlineStr">
        <is>
          <t>No</t>
        </is>
      </c>
      <c r="L72" s="24" t="inlineStr">
        <is>
          <t>Process misalignment</t>
        </is>
      </c>
    </row>
    <row r="73" ht="15" customHeight="1">
      <c r="A73" s="20" t="inlineStr">
        <is>
          <t>TIX-069</t>
        </is>
      </c>
      <c r="B73" s="20" t="inlineStr">
        <is>
          <t>C012</t>
        </is>
      </c>
      <c r="C73" s="20" t="inlineStr">
        <is>
          <t>Keystone Bank</t>
        </is>
      </c>
      <c r="D73" s="21" t="n">
        <v>44983</v>
      </c>
      <c r="E73" s="21" t="n">
        <v>44996</v>
      </c>
      <c r="F73" s="20" t="inlineStr">
        <is>
          <t>Low</t>
        </is>
      </c>
      <c r="G73" s="20" t="inlineStr">
        <is>
          <t>Access/Permissions</t>
        </is>
      </c>
      <c r="H73" s="20" t="inlineStr">
        <is>
          <t>P010</t>
        </is>
      </c>
      <c r="I73" s="40">
        <f>E73-D73</f>
        <v/>
      </c>
      <c r="J73" s="34" t="n">
        <v>3</v>
      </c>
      <c r="K73" s="20" t="inlineStr">
        <is>
          <t>No</t>
        </is>
      </c>
      <c r="L73" s="20" t="inlineStr">
        <is>
          <t>Product limitation</t>
        </is>
      </c>
    </row>
    <row r="74" ht="15" customHeight="1">
      <c r="A74" s="24" t="inlineStr">
        <is>
          <t>TIX-070</t>
        </is>
      </c>
      <c r="B74" s="24" t="inlineStr">
        <is>
          <t>C012</t>
        </is>
      </c>
      <c r="C74" s="24" t="inlineStr">
        <is>
          <t>Keystone Bank</t>
        </is>
      </c>
      <c r="D74" s="25" t="n">
        <v>45118</v>
      </c>
      <c r="E74" s="25" t="n">
        <v>45137</v>
      </c>
      <c r="F74" s="24" t="inlineStr">
        <is>
          <t>Low</t>
        </is>
      </c>
      <c r="G74" s="24" t="inlineStr">
        <is>
          <t>Feature Request</t>
        </is>
      </c>
      <c r="H74" s="24" t="inlineStr">
        <is>
          <t>P008</t>
        </is>
      </c>
      <c r="I74" s="42">
        <f>E74-D74</f>
        <v/>
      </c>
      <c r="J74" s="35" t="n">
        <v>2</v>
      </c>
      <c r="K74" s="24" t="inlineStr">
        <is>
          <t>No</t>
        </is>
      </c>
      <c r="L74" s="24" t="inlineStr">
        <is>
          <t>Third-party dependency</t>
        </is>
      </c>
    </row>
    <row r="76" ht="15" customHeight="1">
      <c r="A76" s="91" t="inlineStr">
        <is>
          <t>Support Summary by Customer</t>
        </is>
      </c>
    </row>
    <row r="77" ht="26.25" customHeight="1">
      <c r="A77" s="5" t="inlineStr">
        <is>
          <t>Customer ID</t>
        </is>
      </c>
      <c r="B77" s="5" t="inlineStr">
        <is>
          <t>Total Tickets</t>
        </is>
      </c>
      <c r="C77" s="5" t="inlineStr">
        <is>
          <t>Avg Resolution Days</t>
        </is>
      </c>
      <c r="D77" s="5" t="inlineStr">
        <is>
          <t>Avg CSAT</t>
        </is>
      </c>
      <c r="E77" s="5" t="inlineStr">
        <is>
          <t>Escalation Rate</t>
        </is>
      </c>
    </row>
    <row r="78" ht="15" customHeight="1">
      <c r="A78" s="98" t="inlineStr">
        <is>
          <t>C001</t>
        </is>
      </c>
      <c r="B78" s="9">
        <f>COUNTIF(B$5:B$74,A78)</f>
        <v/>
      </c>
      <c r="C78" s="44">
        <f>IFERROR(AVERAGEIF(B$5:B$74,A78,I$5:I$74),0)</f>
        <v/>
      </c>
      <c r="D78" s="44">
        <f>IFERROR(AVERAGEIF(B$5:B$74,A78,J$5:J$74),0)</f>
        <v/>
      </c>
      <c r="E78" s="10">
        <f>IFERROR(COUNTIFS(B$5:B$74,A78,K$5:K$74,"Yes")/COUNTIF(B$5:B$74,A78),0)</f>
        <v/>
      </c>
    </row>
    <row r="79" ht="15" customHeight="1">
      <c r="A79" s="98" t="inlineStr">
        <is>
          <t>C002</t>
        </is>
      </c>
      <c r="B79" s="9">
        <f>COUNTIF(B$5:B$74,A79)</f>
        <v/>
      </c>
      <c r="C79" s="44">
        <f>IFERROR(AVERAGEIF(B$5:B$74,A79,I$5:I$74),0)</f>
        <v/>
      </c>
      <c r="D79" s="44">
        <f>IFERROR(AVERAGEIF(B$5:B$74,A79,J$5:J$74),0)</f>
        <v/>
      </c>
      <c r="E79" s="10">
        <f>IFERROR(COUNTIFS(B$5:B$74,A79,K$5:K$74,"Yes")/COUNTIF(B$5:B$74,A79),0)</f>
        <v/>
      </c>
    </row>
    <row r="80" ht="15" customHeight="1">
      <c r="A80" s="98" t="inlineStr">
        <is>
          <t>C003</t>
        </is>
      </c>
      <c r="B80" s="9">
        <f>COUNTIF(B$5:B$74,A80)</f>
        <v/>
      </c>
      <c r="C80" s="44">
        <f>IFERROR(AVERAGEIF(B$5:B$74,A80,I$5:I$74),0)</f>
        <v/>
      </c>
      <c r="D80" s="44">
        <f>IFERROR(AVERAGEIF(B$5:B$74,A80,J$5:J$74),0)</f>
        <v/>
      </c>
      <c r="E80" s="10">
        <f>IFERROR(COUNTIFS(B$5:B$74,A80,K$5:K$74,"Yes")/COUNTIF(B$5:B$74,A80),0)</f>
        <v/>
      </c>
    </row>
    <row r="81" ht="15" customHeight="1">
      <c r="A81" s="98" t="inlineStr">
        <is>
          <t>C004</t>
        </is>
      </c>
      <c r="B81" s="9">
        <f>COUNTIF(B$5:B$74,A81)</f>
        <v/>
      </c>
      <c r="C81" s="44">
        <f>IFERROR(AVERAGEIF(B$5:B$74,A81,I$5:I$74),0)</f>
        <v/>
      </c>
      <c r="D81" s="44">
        <f>IFERROR(AVERAGEIF(B$5:B$74,A81,J$5:J$74),0)</f>
        <v/>
      </c>
      <c r="E81" s="10">
        <f>IFERROR(COUNTIFS(B$5:B$74,A81,K$5:K$74,"Yes")/COUNTIF(B$5:B$74,A81),0)</f>
        <v/>
      </c>
    </row>
    <row r="82" ht="15" customHeight="1">
      <c r="A82" s="98" t="inlineStr">
        <is>
          <t>C005</t>
        </is>
      </c>
      <c r="B82" s="9">
        <f>COUNTIF(B$5:B$74,A82)</f>
        <v/>
      </c>
      <c r="C82" s="44">
        <f>IFERROR(AVERAGEIF(B$5:B$74,A82,I$5:I$74),0)</f>
        <v/>
      </c>
      <c r="D82" s="44">
        <f>IFERROR(AVERAGEIF(B$5:B$74,A82,J$5:J$74),0)</f>
        <v/>
      </c>
      <c r="E82" s="10">
        <f>IFERROR(COUNTIFS(B$5:B$74,A82,K$5:K$74,"Yes")/COUNTIF(B$5:B$74,A82),0)</f>
        <v/>
      </c>
    </row>
    <row r="83" ht="15" customHeight="1">
      <c r="A83" s="98" t="inlineStr">
        <is>
          <t>C006</t>
        </is>
      </c>
      <c r="B83" s="9">
        <f>COUNTIF(B$5:B$74,A83)</f>
        <v/>
      </c>
      <c r="C83" s="44">
        <f>IFERROR(AVERAGEIF(B$5:B$74,A83,I$5:I$74),0)</f>
        <v/>
      </c>
      <c r="D83" s="44">
        <f>IFERROR(AVERAGEIF(B$5:B$74,A83,J$5:J$74),0)</f>
        <v/>
      </c>
      <c r="E83" s="10">
        <f>IFERROR(COUNTIFS(B$5:B$74,A83,K$5:K$74,"Yes")/COUNTIF(B$5:B$74,A83),0)</f>
        <v/>
      </c>
    </row>
    <row r="84" ht="15" customHeight="1">
      <c r="A84" s="98" t="inlineStr">
        <is>
          <t>C007</t>
        </is>
      </c>
      <c r="B84" s="9">
        <f>COUNTIF(B$5:B$74,A84)</f>
        <v/>
      </c>
      <c r="C84" s="44">
        <f>IFERROR(AVERAGEIF(B$5:B$74,A84,I$5:I$74),0)</f>
        <v/>
      </c>
      <c r="D84" s="44">
        <f>IFERROR(AVERAGEIF(B$5:B$74,A84,J$5:J$74),0)</f>
        <v/>
      </c>
      <c r="E84" s="10">
        <f>IFERROR(COUNTIFS(B$5:B$74,A84,K$5:K$74,"Yes")/COUNTIF(B$5:B$74,A84),0)</f>
        <v/>
      </c>
    </row>
    <row r="85" ht="15" customHeight="1">
      <c r="A85" s="98" t="inlineStr">
        <is>
          <t>C008</t>
        </is>
      </c>
      <c r="B85" s="9">
        <f>COUNTIF(B$5:B$74,A85)</f>
        <v/>
      </c>
      <c r="C85" s="44">
        <f>IFERROR(AVERAGEIF(B$5:B$74,A85,I$5:I$74),0)</f>
        <v/>
      </c>
      <c r="D85" s="44">
        <f>IFERROR(AVERAGEIF(B$5:B$74,A85,J$5:J$74),0)</f>
        <v/>
      </c>
      <c r="E85" s="10">
        <f>IFERROR(COUNTIFS(B$5:B$74,A85,K$5:K$74,"Yes")/COUNTIF(B$5:B$74,A85),0)</f>
        <v/>
      </c>
    </row>
    <row r="86" ht="15" customHeight="1">
      <c r="A86" s="98" t="inlineStr">
        <is>
          <t>C009</t>
        </is>
      </c>
      <c r="B86" s="9">
        <f>COUNTIF(B$5:B$74,A86)</f>
        <v/>
      </c>
      <c r="C86" s="44">
        <f>IFERROR(AVERAGEIF(B$5:B$74,A86,I$5:I$74),0)</f>
        <v/>
      </c>
      <c r="D86" s="44">
        <f>IFERROR(AVERAGEIF(B$5:B$74,A86,J$5:J$74),0)</f>
        <v/>
      </c>
      <c r="E86" s="10">
        <f>IFERROR(COUNTIFS(B$5:B$74,A86,K$5:K$74,"Yes")/COUNTIF(B$5:B$74,A86),0)</f>
        <v/>
      </c>
    </row>
    <row r="87" ht="15" customHeight="1">
      <c r="A87" s="98" t="inlineStr">
        <is>
          <t>C010</t>
        </is>
      </c>
      <c r="B87" s="9">
        <f>COUNTIF(B$5:B$74,A87)</f>
        <v/>
      </c>
      <c r="C87" s="44">
        <f>IFERROR(AVERAGEIF(B$5:B$74,A87,I$5:I$74),0)</f>
        <v/>
      </c>
      <c r="D87" s="44">
        <f>IFERROR(AVERAGEIF(B$5:B$74,A87,J$5:J$74),0)</f>
        <v/>
      </c>
      <c r="E87" s="10">
        <f>IFERROR(COUNTIFS(B$5:B$74,A87,K$5:K$74,"Yes")/COUNTIF(B$5:B$74,A87),0)</f>
        <v/>
      </c>
    </row>
    <row r="88" ht="15" customHeight="1">
      <c r="A88" s="98" t="inlineStr">
        <is>
          <t>C011</t>
        </is>
      </c>
      <c r="B88" s="9">
        <f>COUNTIF(B$5:B$74,A88)</f>
        <v/>
      </c>
      <c r="C88" s="44">
        <f>IFERROR(AVERAGEIF(B$5:B$74,A88,I$5:I$74),0)</f>
        <v/>
      </c>
      <c r="D88" s="44">
        <f>IFERROR(AVERAGEIF(B$5:B$74,A88,J$5:J$74),0)</f>
        <v/>
      </c>
      <c r="E88" s="10">
        <f>IFERROR(COUNTIFS(B$5:B$74,A88,K$5:K$74,"Yes")/COUNTIF(B$5:B$74,A88),0)</f>
        <v/>
      </c>
    </row>
    <row r="89" ht="15" customHeight="1">
      <c r="A89" s="98" t="inlineStr">
        <is>
          <t>C012</t>
        </is>
      </c>
      <c r="B89" s="9">
        <f>COUNTIF(B$5:B$74,A89)</f>
        <v/>
      </c>
      <c r="C89" s="44">
        <f>IFERROR(AVERAGEIF(B$5:B$74,A89,I$5:I$74),0)</f>
        <v/>
      </c>
      <c r="D89" s="44">
        <f>IFERROR(AVERAGEIF(B$5:B$74,A89,J$5:J$74),0)</f>
        <v/>
      </c>
      <c r="E89" s="10">
        <f>IFERROR(COUNTIFS(B$5:B$74,A89,K$5:K$74,"Yes")/COUNTIF(B$5:B$74,A89),0)</f>
        <v/>
      </c>
    </row>
  </sheetData>
  <mergeCells count="3">
    <mergeCell ref="A2:L2"/>
    <mergeCell ref="A1:L1"/>
    <mergeCell ref="A76:E76"/>
  </mergeCells>
  <pageMargins left="0.75" right="0.75" top="1" bottom="1" header="0.511811023622047" footer="0.511811023622047"/>
  <pageSetup orientation="portrait" paperSize="9" horizontalDpi="300" verticalDpi="300"/>
</worksheet>
</file>

<file path=xl/worksheets/sheet9.xml><?xml version="1.0" encoding="utf-8"?>
<worksheet xmlns="http://schemas.openxmlformats.org/spreadsheetml/2006/main">
  <sheetPr>
    <tabColor rgb="FF3498DB"/>
    <outlinePr summaryBelow="1" summaryRight="1"/>
    <pageSetUpPr/>
  </sheetPr>
  <dimension ref="A1:N163"/>
  <sheetViews>
    <sheetView zoomScaleNormal="100" workbookViewId="0">
      <selection activeCell="A1" sqref="A1:N1"/>
    </sheetView>
  </sheetViews>
  <sheetFormatPr baseColWidth="8" defaultColWidth="8.7109375" defaultRowHeight="15"/>
  <cols>
    <col width="12" customWidth="1" min="1" max="1"/>
    <col width="22" customWidth="1" min="2" max="2"/>
    <col width="14" customWidth="1" min="3" max="4"/>
    <col width="12" customWidth="1" min="5" max="6"/>
    <col width="16" customWidth="1" min="7" max="7"/>
    <col width="18" customWidth="1" min="8" max="8"/>
    <col width="16" customWidth="1" min="9" max="9"/>
    <col width="18" customWidth="1" min="10" max="10"/>
    <col width="14" customWidth="1" min="11" max="11"/>
    <col width="16" customWidth="1" min="12" max="14"/>
  </cols>
  <sheetData>
    <row r="1" ht="17.25" customHeight="1">
      <c r="A1" s="93" t="inlineStr">
        <is>
          <t>Product Adoption &amp; Usage Metrics</t>
        </is>
      </c>
    </row>
    <row r="2" ht="15" customHeight="1">
      <c r="A2" s="94" t="inlineStr">
        <is>
          <t>Monthly product usage data per customer. Feeds CSI (Adoption &amp; Retention scores) and ECS (core product capability).</t>
        </is>
      </c>
    </row>
    <row r="4" ht="26.25" customHeight="1">
      <c r="A4" s="5" t="inlineStr">
        <is>
          <t>Customer ID</t>
        </is>
      </c>
      <c r="B4" s="5" t="inlineStr">
        <is>
          <t>Customer Name</t>
        </is>
      </c>
      <c r="C4" s="5" t="inlineStr">
        <is>
          <t>Measurement Month</t>
        </is>
      </c>
      <c r="D4" s="5" t="inlineStr">
        <is>
          <t>Licensed Users</t>
        </is>
      </c>
      <c r="E4" s="5" t="inlineStr">
        <is>
          <t>Active Users</t>
        </is>
      </c>
      <c r="F4" s="5" t="inlineStr">
        <is>
          <t>Adoption Rate</t>
        </is>
      </c>
      <c r="G4" s="5" t="inlineStr">
        <is>
          <t>Features Activated</t>
        </is>
      </c>
      <c r="H4" s="5" t="inlineStr">
        <is>
          <t>Total Features Available</t>
        </is>
      </c>
      <c r="I4" s="5" t="inlineStr">
        <is>
          <t>Feature Adoption %</t>
        </is>
      </c>
      <c r="J4" s="5" t="inlineStr">
        <is>
          <t>Avg Sessions / User / Week</t>
        </is>
      </c>
      <c r="K4" s="5" t="inlineStr">
        <is>
          <t>Data Volume (GB)</t>
        </is>
      </c>
      <c r="L4" s="5" t="inlineStr">
        <is>
          <t>API Calls / Month</t>
        </is>
      </c>
      <c r="M4" s="5" t="inlineStr">
        <is>
          <t>Time-to-Value (days)</t>
        </is>
      </c>
      <c r="N4" s="5" t="inlineStr">
        <is>
          <t>Partner-Supported?</t>
        </is>
      </c>
    </row>
    <row r="5" ht="15" customHeight="1">
      <c r="A5" s="20" t="inlineStr">
        <is>
          <t>C001</t>
        </is>
      </c>
      <c r="B5" s="20" t="inlineStr">
        <is>
          <t>Meridian Healthcare</t>
        </is>
      </c>
      <c r="C5" s="47" t="n">
        <v>45292</v>
      </c>
      <c r="D5" s="48" t="n">
        <v>500</v>
      </c>
      <c r="E5" s="48" t="n">
        <v>415</v>
      </c>
      <c r="F5" s="49">
        <f>IFERROR(E5/D5,0)</f>
        <v/>
      </c>
      <c r="G5" s="34" t="n">
        <v>38</v>
      </c>
      <c r="H5" s="34" t="n">
        <v>45</v>
      </c>
      <c r="I5" s="49">
        <f>IFERROR(G5/H5,0)</f>
        <v/>
      </c>
      <c r="J5" s="28" t="n">
        <v>12.3</v>
      </c>
      <c r="K5" s="28" t="n">
        <v>21.8</v>
      </c>
      <c r="L5" s="48" t="n">
        <v>45009</v>
      </c>
      <c r="M5" s="34" t="n">
        <v>28</v>
      </c>
      <c r="N5" s="20" t="inlineStr">
        <is>
          <t>Yes</t>
        </is>
      </c>
    </row>
    <row r="6" ht="15" customHeight="1">
      <c r="A6" s="24" t="inlineStr">
        <is>
          <t>C001</t>
        </is>
      </c>
      <c r="B6" s="24" t="inlineStr">
        <is>
          <t>Meridian Healthcare</t>
        </is>
      </c>
      <c r="C6" s="50" t="n">
        <v>45323</v>
      </c>
      <c r="D6" s="51" t="n">
        <v>500</v>
      </c>
      <c r="E6" s="51" t="n">
        <v>439</v>
      </c>
      <c r="F6" s="52">
        <f>IFERROR(E6/D6,0)</f>
        <v/>
      </c>
      <c r="G6" s="35" t="n">
        <v>38</v>
      </c>
      <c r="H6" s="35" t="n">
        <v>45</v>
      </c>
      <c r="I6" s="52">
        <f>IFERROR(G6/H6,0)</f>
        <v/>
      </c>
      <c r="J6" s="29" t="n">
        <v>11.2</v>
      </c>
      <c r="K6" s="29" t="n">
        <v>44.6</v>
      </c>
      <c r="L6" s="51" t="n">
        <v>33327</v>
      </c>
      <c r="M6" s="35" t="n"/>
      <c r="N6" s="24" t="inlineStr">
        <is>
          <t>Yes</t>
        </is>
      </c>
    </row>
    <row r="7" ht="15" customHeight="1">
      <c r="A7" s="20" t="inlineStr">
        <is>
          <t>C001</t>
        </is>
      </c>
      <c r="B7" s="20" t="inlineStr">
        <is>
          <t>Meridian Healthcare</t>
        </is>
      </c>
      <c r="C7" s="47" t="n">
        <v>45352</v>
      </c>
      <c r="D7" s="48" t="n">
        <v>500</v>
      </c>
      <c r="E7" s="48" t="n">
        <v>431</v>
      </c>
      <c r="F7" s="49">
        <f>IFERROR(E7/D7,0)</f>
        <v/>
      </c>
      <c r="G7" s="34" t="n">
        <v>39</v>
      </c>
      <c r="H7" s="34" t="n">
        <v>45</v>
      </c>
      <c r="I7" s="49">
        <f>IFERROR(G7/H7,0)</f>
        <v/>
      </c>
      <c r="J7" s="28" t="n">
        <v>12.7</v>
      </c>
      <c r="K7" s="28" t="n">
        <v>45.7</v>
      </c>
      <c r="L7" s="48" t="n">
        <v>124386</v>
      </c>
      <c r="M7" s="34" t="n"/>
      <c r="N7" s="20" t="inlineStr">
        <is>
          <t>Yes</t>
        </is>
      </c>
    </row>
    <row r="8" ht="15" customHeight="1">
      <c r="A8" s="24" t="inlineStr">
        <is>
          <t>C001</t>
        </is>
      </c>
      <c r="B8" s="24" t="inlineStr">
        <is>
          <t>Meridian Healthcare</t>
        </is>
      </c>
      <c r="C8" s="50" t="n">
        <v>45383</v>
      </c>
      <c r="D8" s="51" t="n">
        <v>500</v>
      </c>
      <c r="E8" s="51" t="n">
        <v>417</v>
      </c>
      <c r="F8" s="52">
        <f>IFERROR(E8/D8,0)</f>
        <v/>
      </c>
      <c r="G8" s="35" t="n">
        <v>40</v>
      </c>
      <c r="H8" s="35" t="n">
        <v>45</v>
      </c>
      <c r="I8" s="52">
        <f>IFERROR(G8/H8,0)</f>
        <v/>
      </c>
      <c r="J8" s="29" t="n">
        <v>12.4</v>
      </c>
      <c r="K8" s="29" t="n">
        <v>40.4</v>
      </c>
      <c r="L8" s="51" t="n">
        <v>95766</v>
      </c>
      <c r="M8" s="35" t="n"/>
      <c r="N8" s="24" t="inlineStr">
        <is>
          <t>Yes</t>
        </is>
      </c>
    </row>
    <row r="9" ht="15" customHeight="1">
      <c r="A9" s="20" t="inlineStr">
        <is>
          <t>C001</t>
        </is>
      </c>
      <c r="B9" s="20" t="inlineStr">
        <is>
          <t>Meridian Healthcare</t>
        </is>
      </c>
      <c r="C9" s="47" t="n">
        <v>45413</v>
      </c>
      <c r="D9" s="48" t="n">
        <v>500</v>
      </c>
      <c r="E9" s="48" t="n">
        <v>437</v>
      </c>
      <c r="F9" s="49">
        <f>IFERROR(E9/D9,0)</f>
        <v/>
      </c>
      <c r="G9" s="34" t="n">
        <v>40</v>
      </c>
      <c r="H9" s="34" t="n">
        <v>45</v>
      </c>
      <c r="I9" s="49">
        <f>IFERROR(G9/H9,0)</f>
        <v/>
      </c>
      <c r="J9" s="28" t="n">
        <v>13.3</v>
      </c>
      <c r="K9" s="28" t="n">
        <v>28.8</v>
      </c>
      <c r="L9" s="48" t="n">
        <v>25113</v>
      </c>
      <c r="M9" s="34" t="n"/>
      <c r="N9" s="20" t="inlineStr">
        <is>
          <t>Yes</t>
        </is>
      </c>
    </row>
    <row r="10" ht="15" customHeight="1">
      <c r="A10" s="24" t="inlineStr">
        <is>
          <t>C001</t>
        </is>
      </c>
      <c r="B10" s="24" t="inlineStr">
        <is>
          <t>Meridian Healthcare</t>
        </is>
      </c>
      <c r="C10" s="50" t="n">
        <v>45444</v>
      </c>
      <c r="D10" s="51" t="n">
        <v>500</v>
      </c>
      <c r="E10" s="51" t="n">
        <v>473</v>
      </c>
      <c r="F10" s="52">
        <f>IFERROR(E10/D10,0)</f>
        <v/>
      </c>
      <c r="G10" s="35" t="n">
        <v>40</v>
      </c>
      <c r="H10" s="35" t="n">
        <v>45</v>
      </c>
      <c r="I10" s="52">
        <f>IFERROR(G10/H10,0)</f>
        <v/>
      </c>
      <c r="J10" s="29" t="n">
        <v>12.1</v>
      </c>
      <c r="K10" s="29" t="n">
        <v>12.1</v>
      </c>
      <c r="L10" s="51" t="n">
        <v>114759</v>
      </c>
      <c r="M10" s="35" t="n"/>
      <c r="N10" s="24" t="inlineStr">
        <is>
          <t>Yes</t>
        </is>
      </c>
    </row>
    <row r="11" ht="15" customHeight="1">
      <c r="A11" s="20" t="inlineStr">
        <is>
          <t>C001</t>
        </is>
      </c>
      <c r="B11" s="20" t="inlineStr">
        <is>
          <t>Meridian Healthcare</t>
        </is>
      </c>
      <c r="C11" s="47" t="n">
        <v>45474</v>
      </c>
      <c r="D11" s="48" t="n">
        <v>500</v>
      </c>
      <c r="E11" s="48" t="n">
        <v>440</v>
      </c>
      <c r="F11" s="49">
        <f>IFERROR(E11/D11,0)</f>
        <v/>
      </c>
      <c r="G11" s="34" t="n">
        <v>41</v>
      </c>
      <c r="H11" s="34" t="n">
        <v>45</v>
      </c>
      <c r="I11" s="49">
        <f>IFERROR(G11/H11,0)</f>
        <v/>
      </c>
      <c r="J11" s="28" t="n">
        <v>12.6</v>
      </c>
      <c r="K11" s="28" t="n">
        <v>56.1</v>
      </c>
      <c r="L11" s="48" t="n">
        <v>83835</v>
      </c>
      <c r="M11" s="34" t="n"/>
      <c r="N11" s="20" t="inlineStr">
        <is>
          <t>Yes</t>
        </is>
      </c>
    </row>
    <row r="12" ht="15" customHeight="1">
      <c r="A12" s="24" t="inlineStr">
        <is>
          <t>C001</t>
        </is>
      </c>
      <c r="B12" s="24" t="inlineStr">
        <is>
          <t>Meridian Healthcare</t>
        </is>
      </c>
      <c r="C12" s="50" t="n">
        <v>45505</v>
      </c>
      <c r="D12" s="51" t="n">
        <v>500</v>
      </c>
      <c r="E12" s="51" t="n">
        <v>477</v>
      </c>
      <c r="F12" s="52">
        <f>IFERROR(E12/D12,0)</f>
        <v/>
      </c>
      <c r="G12" s="35" t="n">
        <v>40</v>
      </c>
      <c r="H12" s="35" t="n">
        <v>45</v>
      </c>
      <c r="I12" s="52">
        <f>IFERROR(G12/H12,0)</f>
        <v/>
      </c>
      <c r="J12" s="29" t="n">
        <v>11.9</v>
      </c>
      <c r="K12" s="29" t="n">
        <v>23.7</v>
      </c>
      <c r="L12" s="51" t="n">
        <v>59463</v>
      </c>
      <c r="M12" s="35" t="n"/>
      <c r="N12" s="24" t="inlineStr">
        <is>
          <t>Yes</t>
        </is>
      </c>
    </row>
    <row r="13" ht="15" customHeight="1">
      <c r="A13" s="20" t="inlineStr">
        <is>
          <t>C001</t>
        </is>
      </c>
      <c r="B13" s="20" t="inlineStr">
        <is>
          <t>Meridian Healthcare</t>
        </is>
      </c>
      <c r="C13" s="47" t="n">
        <v>45536</v>
      </c>
      <c r="D13" s="48" t="n">
        <v>500</v>
      </c>
      <c r="E13" s="48" t="n">
        <v>480</v>
      </c>
      <c r="F13" s="49">
        <f>IFERROR(E13/D13,0)</f>
        <v/>
      </c>
      <c r="G13" s="34" t="n">
        <v>41</v>
      </c>
      <c r="H13" s="34" t="n">
        <v>45</v>
      </c>
      <c r="I13" s="49">
        <f>IFERROR(G13/H13,0)</f>
        <v/>
      </c>
      <c r="J13" s="28" t="n">
        <v>13.7</v>
      </c>
      <c r="K13" s="28" t="n">
        <v>58.6</v>
      </c>
      <c r="L13" s="48" t="n">
        <v>135633</v>
      </c>
      <c r="M13" s="34" t="n"/>
      <c r="N13" s="20" t="inlineStr">
        <is>
          <t>Yes</t>
        </is>
      </c>
    </row>
    <row r="14" ht="15" customHeight="1">
      <c r="A14" s="24" t="inlineStr">
        <is>
          <t>C001</t>
        </is>
      </c>
      <c r="B14" s="24" t="inlineStr">
        <is>
          <t>Meridian Healthcare</t>
        </is>
      </c>
      <c r="C14" s="50" t="n">
        <v>45566</v>
      </c>
      <c r="D14" s="51" t="n">
        <v>500</v>
      </c>
      <c r="E14" s="51" t="n">
        <v>478</v>
      </c>
      <c r="F14" s="52">
        <f>IFERROR(E14/D14,0)</f>
        <v/>
      </c>
      <c r="G14" s="35" t="n">
        <v>42</v>
      </c>
      <c r="H14" s="35" t="n">
        <v>45</v>
      </c>
      <c r="I14" s="52">
        <f>IFERROR(G14/H14,0)</f>
        <v/>
      </c>
      <c r="J14" s="29" t="n">
        <v>12</v>
      </c>
      <c r="K14" s="29" t="n">
        <v>67.90000000000001</v>
      </c>
      <c r="L14" s="51" t="n">
        <v>67581</v>
      </c>
      <c r="M14" s="35" t="n"/>
      <c r="N14" s="24" t="inlineStr">
        <is>
          <t>Yes</t>
        </is>
      </c>
    </row>
    <row r="15" ht="15" customHeight="1">
      <c r="A15" s="20" t="inlineStr">
        <is>
          <t>C001</t>
        </is>
      </c>
      <c r="B15" s="20" t="inlineStr">
        <is>
          <t>Meridian Healthcare</t>
        </is>
      </c>
      <c r="C15" s="47" t="n">
        <v>45597</v>
      </c>
      <c r="D15" s="48" t="n">
        <v>500</v>
      </c>
      <c r="E15" s="48" t="n">
        <v>451</v>
      </c>
      <c r="F15" s="49">
        <f>IFERROR(E15/D15,0)</f>
        <v/>
      </c>
      <c r="G15" s="34" t="n">
        <v>41</v>
      </c>
      <c r="H15" s="34" t="n">
        <v>45</v>
      </c>
      <c r="I15" s="49">
        <f>IFERROR(G15/H15,0)</f>
        <v/>
      </c>
      <c r="J15" s="28" t="n">
        <v>13.4</v>
      </c>
      <c r="K15" s="28" t="n">
        <v>28.4</v>
      </c>
      <c r="L15" s="48" t="n">
        <v>81810</v>
      </c>
      <c r="M15" s="34" t="n"/>
      <c r="N15" s="20" t="inlineStr">
        <is>
          <t>Yes</t>
        </is>
      </c>
    </row>
    <row r="16" ht="15" customHeight="1">
      <c r="A16" s="24" t="inlineStr">
        <is>
          <t>C001</t>
        </is>
      </c>
      <c r="B16" s="24" t="inlineStr">
        <is>
          <t>Meridian Healthcare</t>
        </is>
      </c>
      <c r="C16" s="50" t="n">
        <v>45627</v>
      </c>
      <c r="D16" s="51" t="n">
        <v>500</v>
      </c>
      <c r="E16" s="51" t="n">
        <v>472</v>
      </c>
      <c r="F16" s="52">
        <f>IFERROR(E16/D16,0)</f>
        <v/>
      </c>
      <c r="G16" s="35" t="n">
        <v>40</v>
      </c>
      <c r="H16" s="35" t="n">
        <v>45</v>
      </c>
      <c r="I16" s="52">
        <f>IFERROR(G16/H16,0)</f>
        <v/>
      </c>
      <c r="J16" s="29" t="n">
        <v>13.8</v>
      </c>
      <c r="K16" s="29" t="n">
        <v>47.3</v>
      </c>
      <c r="L16" s="51" t="n">
        <v>93795</v>
      </c>
      <c r="M16" s="35" t="n"/>
      <c r="N16" s="24" t="inlineStr">
        <is>
          <t>Yes</t>
        </is>
      </c>
    </row>
    <row r="17" ht="15" customHeight="1">
      <c r="A17" s="20" t="inlineStr">
        <is>
          <t>C002</t>
        </is>
      </c>
      <c r="B17" s="20" t="inlineStr">
        <is>
          <t>Atlas Financial</t>
        </is>
      </c>
      <c r="C17" s="47" t="n">
        <v>45292</v>
      </c>
      <c r="D17" s="48" t="n">
        <v>50</v>
      </c>
      <c r="E17" s="48" t="n">
        <v>43</v>
      </c>
      <c r="F17" s="49">
        <f>IFERROR(E17/D17,0)</f>
        <v/>
      </c>
      <c r="G17" s="34" t="n">
        <v>37</v>
      </c>
      <c r="H17" s="34" t="n">
        <v>45</v>
      </c>
      <c r="I17" s="49">
        <f>IFERROR(G17/H17,0)</f>
        <v/>
      </c>
      <c r="J17" s="28" t="n">
        <v>11.2</v>
      </c>
      <c r="K17" s="28" t="n">
        <v>28.9</v>
      </c>
      <c r="L17" s="48" t="n">
        <v>88962</v>
      </c>
      <c r="M17" s="34" t="n">
        <v>29</v>
      </c>
      <c r="N17" s="20" t="inlineStr">
        <is>
          <t>Yes</t>
        </is>
      </c>
    </row>
    <row r="18" ht="15" customHeight="1">
      <c r="A18" s="24" t="inlineStr">
        <is>
          <t>C002</t>
        </is>
      </c>
      <c r="B18" s="24" t="inlineStr">
        <is>
          <t>Atlas Financial</t>
        </is>
      </c>
      <c r="C18" s="50" t="n">
        <v>45323</v>
      </c>
      <c r="D18" s="51" t="n">
        <v>50</v>
      </c>
      <c r="E18" s="51" t="n">
        <v>42</v>
      </c>
      <c r="F18" s="52">
        <f>IFERROR(E18/D18,0)</f>
        <v/>
      </c>
      <c r="G18" s="35" t="n">
        <v>38</v>
      </c>
      <c r="H18" s="35" t="n">
        <v>45</v>
      </c>
      <c r="I18" s="52">
        <f>IFERROR(G18/H18,0)</f>
        <v/>
      </c>
      <c r="J18" s="29" t="n">
        <v>11.4</v>
      </c>
      <c r="K18" s="29" t="n">
        <v>20</v>
      </c>
      <c r="L18" s="51" t="n">
        <v>78774</v>
      </c>
      <c r="M18" s="35" t="n"/>
      <c r="N18" s="24" t="inlineStr">
        <is>
          <t>Yes</t>
        </is>
      </c>
    </row>
    <row r="19" ht="15" customHeight="1">
      <c r="A19" s="20" t="inlineStr">
        <is>
          <t>C002</t>
        </is>
      </c>
      <c r="B19" s="20" t="inlineStr">
        <is>
          <t>Atlas Financial</t>
        </is>
      </c>
      <c r="C19" s="47" t="n">
        <v>45352</v>
      </c>
      <c r="D19" s="48" t="n">
        <v>50</v>
      </c>
      <c r="E19" s="48" t="n">
        <v>44</v>
      </c>
      <c r="F19" s="49">
        <f>IFERROR(E19/D19,0)</f>
        <v/>
      </c>
      <c r="G19" s="34" t="n">
        <v>39</v>
      </c>
      <c r="H19" s="34" t="n">
        <v>45</v>
      </c>
      <c r="I19" s="49">
        <f>IFERROR(G19/H19,0)</f>
        <v/>
      </c>
      <c r="J19" s="28" t="n">
        <v>12.4</v>
      </c>
      <c r="K19" s="28" t="n">
        <v>49.2</v>
      </c>
      <c r="L19" s="48" t="n">
        <v>45588</v>
      </c>
      <c r="M19" s="34" t="n"/>
      <c r="N19" s="20" t="inlineStr">
        <is>
          <t>Yes</t>
        </is>
      </c>
    </row>
    <row r="20" ht="15" customHeight="1">
      <c r="A20" s="24" t="inlineStr">
        <is>
          <t>C002</t>
        </is>
      </c>
      <c r="B20" s="24" t="inlineStr">
        <is>
          <t>Atlas Financial</t>
        </is>
      </c>
      <c r="C20" s="50" t="n">
        <v>45383</v>
      </c>
      <c r="D20" s="51" t="n">
        <v>50</v>
      </c>
      <c r="E20" s="51" t="n">
        <v>42</v>
      </c>
      <c r="F20" s="52">
        <f>IFERROR(E20/D20,0)</f>
        <v/>
      </c>
      <c r="G20" s="35" t="n">
        <v>40</v>
      </c>
      <c r="H20" s="35" t="n">
        <v>45</v>
      </c>
      <c r="I20" s="52">
        <f>IFERROR(G20/H20,0)</f>
        <v/>
      </c>
      <c r="J20" s="29" t="n">
        <v>11.4</v>
      </c>
      <c r="K20" s="29" t="n">
        <v>10</v>
      </c>
      <c r="L20" s="51" t="n">
        <v>102117</v>
      </c>
      <c r="M20" s="35" t="n"/>
      <c r="N20" s="24" t="inlineStr">
        <is>
          <t>Yes</t>
        </is>
      </c>
    </row>
    <row r="21" ht="15" customHeight="1">
      <c r="A21" s="20" t="inlineStr">
        <is>
          <t>C002</t>
        </is>
      </c>
      <c r="B21" s="20" t="inlineStr">
        <is>
          <t>Atlas Financial</t>
        </is>
      </c>
      <c r="C21" s="47" t="n">
        <v>45413</v>
      </c>
      <c r="D21" s="48" t="n">
        <v>50</v>
      </c>
      <c r="E21" s="48" t="n">
        <v>45</v>
      </c>
      <c r="F21" s="49">
        <f>IFERROR(E21/D21,0)</f>
        <v/>
      </c>
      <c r="G21" s="34" t="n">
        <v>39</v>
      </c>
      <c r="H21" s="34" t="n">
        <v>45</v>
      </c>
      <c r="I21" s="49">
        <f>IFERROR(G21/H21,0)</f>
        <v/>
      </c>
      <c r="J21" s="28" t="n">
        <v>12.6</v>
      </c>
      <c r="K21" s="28" t="n">
        <v>28.4</v>
      </c>
      <c r="L21" s="48" t="n">
        <v>57381</v>
      </c>
      <c r="M21" s="34" t="n"/>
      <c r="N21" s="20" t="inlineStr">
        <is>
          <t>Yes</t>
        </is>
      </c>
    </row>
    <row r="22" ht="15" customHeight="1">
      <c r="A22" s="24" t="inlineStr">
        <is>
          <t>C002</t>
        </is>
      </c>
      <c r="B22" s="24" t="inlineStr">
        <is>
          <t>Atlas Financial</t>
        </is>
      </c>
      <c r="C22" s="50" t="n">
        <v>45444</v>
      </c>
      <c r="D22" s="51" t="n">
        <v>50</v>
      </c>
      <c r="E22" s="51" t="n">
        <v>46</v>
      </c>
      <c r="F22" s="52">
        <f>IFERROR(E22/D22,0)</f>
        <v/>
      </c>
      <c r="G22" s="35" t="n">
        <v>38</v>
      </c>
      <c r="H22" s="35" t="n">
        <v>45</v>
      </c>
      <c r="I22" s="52">
        <f>IFERROR(G22/H22,0)</f>
        <v/>
      </c>
      <c r="J22" s="29" t="n">
        <v>12.2</v>
      </c>
      <c r="K22" s="29" t="n">
        <v>12.5</v>
      </c>
      <c r="L22" s="51" t="n">
        <v>148341</v>
      </c>
      <c r="M22" s="35" t="n"/>
      <c r="N22" s="24" t="inlineStr">
        <is>
          <t>Yes</t>
        </is>
      </c>
    </row>
    <row r="23" ht="15" customHeight="1">
      <c r="A23" s="20" t="inlineStr">
        <is>
          <t>C002</t>
        </is>
      </c>
      <c r="B23" s="20" t="inlineStr">
        <is>
          <t>Atlas Financial</t>
        </is>
      </c>
      <c r="C23" s="47" t="n">
        <v>45474</v>
      </c>
      <c r="D23" s="48" t="n">
        <v>50</v>
      </c>
      <c r="E23" s="48" t="n">
        <v>46</v>
      </c>
      <c r="F23" s="49">
        <f>IFERROR(E23/D23,0)</f>
        <v/>
      </c>
      <c r="G23" s="34" t="n">
        <v>40</v>
      </c>
      <c r="H23" s="34" t="n">
        <v>45</v>
      </c>
      <c r="I23" s="49">
        <f>IFERROR(G23/H23,0)</f>
        <v/>
      </c>
      <c r="J23" s="28" t="n">
        <v>12.7</v>
      </c>
      <c r="K23" s="28" t="n">
        <v>24.5</v>
      </c>
      <c r="L23" s="48" t="n">
        <v>58353</v>
      </c>
      <c r="M23" s="34" t="n"/>
      <c r="N23" s="20" t="inlineStr">
        <is>
          <t>Yes</t>
        </is>
      </c>
    </row>
    <row r="24" ht="15" customHeight="1">
      <c r="A24" s="24" t="inlineStr">
        <is>
          <t>C002</t>
        </is>
      </c>
      <c r="B24" s="24" t="inlineStr">
        <is>
          <t>Atlas Financial</t>
        </is>
      </c>
      <c r="C24" s="50" t="n">
        <v>45505</v>
      </c>
      <c r="D24" s="51" t="n">
        <v>50</v>
      </c>
      <c r="E24" s="51" t="n">
        <v>45</v>
      </c>
      <c r="F24" s="52">
        <f>IFERROR(E24/D24,0)</f>
        <v/>
      </c>
      <c r="G24" s="35" t="n">
        <v>41</v>
      </c>
      <c r="H24" s="35" t="n">
        <v>45</v>
      </c>
      <c r="I24" s="52">
        <f>IFERROR(G24/H24,0)</f>
        <v/>
      </c>
      <c r="J24" s="29" t="n">
        <v>11.8</v>
      </c>
      <c r="K24" s="29" t="n">
        <v>19.2</v>
      </c>
      <c r="L24" s="51" t="n">
        <v>56529</v>
      </c>
      <c r="M24" s="35" t="n"/>
      <c r="N24" s="24" t="inlineStr">
        <is>
          <t>Yes</t>
        </is>
      </c>
    </row>
    <row r="25" ht="15" customHeight="1">
      <c r="A25" s="20" t="inlineStr">
        <is>
          <t>C002</t>
        </is>
      </c>
      <c r="B25" s="20" t="inlineStr">
        <is>
          <t>Atlas Financial</t>
        </is>
      </c>
      <c r="C25" s="47" t="n">
        <v>45536</v>
      </c>
      <c r="D25" s="48" t="n">
        <v>50</v>
      </c>
      <c r="E25" s="48" t="n">
        <v>47</v>
      </c>
      <c r="F25" s="49">
        <f>IFERROR(E25/D25,0)</f>
        <v/>
      </c>
      <c r="G25" s="34" t="n">
        <v>40</v>
      </c>
      <c r="H25" s="34" t="n">
        <v>45</v>
      </c>
      <c r="I25" s="49">
        <f>IFERROR(G25/H25,0)</f>
        <v/>
      </c>
      <c r="J25" s="28" t="n">
        <v>12.4</v>
      </c>
      <c r="K25" s="28" t="n">
        <v>14.6</v>
      </c>
      <c r="L25" s="48" t="n">
        <v>112788</v>
      </c>
      <c r="M25" s="34" t="n"/>
      <c r="N25" s="20" t="inlineStr">
        <is>
          <t>Yes</t>
        </is>
      </c>
    </row>
    <row r="26" ht="15" customHeight="1">
      <c r="A26" s="24" t="inlineStr">
        <is>
          <t>C002</t>
        </is>
      </c>
      <c r="B26" s="24" t="inlineStr">
        <is>
          <t>Atlas Financial</t>
        </is>
      </c>
      <c r="C26" s="50" t="n">
        <v>45566</v>
      </c>
      <c r="D26" s="51" t="n">
        <v>50</v>
      </c>
      <c r="E26" s="51" t="n">
        <v>48</v>
      </c>
      <c r="F26" s="52">
        <f>IFERROR(E26/D26,0)</f>
        <v/>
      </c>
      <c r="G26" s="35" t="n">
        <v>40</v>
      </c>
      <c r="H26" s="35" t="n">
        <v>45</v>
      </c>
      <c r="I26" s="52">
        <f>IFERROR(G26/H26,0)</f>
        <v/>
      </c>
      <c r="J26" s="29" t="n">
        <v>12.2</v>
      </c>
      <c r="K26" s="29" t="n">
        <v>42</v>
      </c>
      <c r="L26" s="51" t="n">
        <v>60240</v>
      </c>
      <c r="M26" s="35" t="n"/>
      <c r="N26" s="24" t="inlineStr">
        <is>
          <t>Yes</t>
        </is>
      </c>
    </row>
    <row r="27" ht="15" customHeight="1">
      <c r="A27" s="20" t="inlineStr">
        <is>
          <t>C002</t>
        </is>
      </c>
      <c r="B27" s="20" t="inlineStr">
        <is>
          <t>Atlas Financial</t>
        </is>
      </c>
      <c r="C27" s="47" t="n">
        <v>45597</v>
      </c>
      <c r="D27" s="48" t="n">
        <v>50</v>
      </c>
      <c r="E27" s="48" t="n">
        <v>47</v>
      </c>
      <c r="F27" s="49">
        <f>IFERROR(E27/D27,0)</f>
        <v/>
      </c>
      <c r="G27" s="34" t="n">
        <v>42</v>
      </c>
      <c r="H27" s="34" t="n">
        <v>45</v>
      </c>
      <c r="I27" s="49">
        <f>IFERROR(G27/H27,0)</f>
        <v/>
      </c>
      <c r="J27" s="28" t="n">
        <v>13.6</v>
      </c>
      <c r="K27" s="28" t="n">
        <v>12.4</v>
      </c>
      <c r="L27" s="48" t="n">
        <v>23316</v>
      </c>
      <c r="M27" s="34" t="n"/>
      <c r="N27" s="20" t="inlineStr">
        <is>
          <t>Yes</t>
        </is>
      </c>
    </row>
    <row r="28" ht="15" customHeight="1">
      <c r="A28" s="24" t="inlineStr">
        <is>
          <t>C002</t>
        </is>
      </c>
      <c r="B28" s="24" t="inlineStr">
        <is>
          <t>Atlas Financial</t>
        </is>
      </c>
      <c r="C28" s="50" t="n">
        <v>45627</v>
      </c>
      <c r="D28" s="51" t="n">
        <v>50</v>
      </c>
      <c r="E28" s="51" t="n">
        <v>47</v>
      </c>
      <c r="F28" s="52">
        <f>IFERROR(E28/D28,0)</f>
        <v/>
      </c>
      <c r="G28" s="35" t="n">
        <v>41</v>
      </c>
      <c r="H28" s="35" t="n">
        <v>45</v>
      </c>
      <c r="I28" s="52">
        <f>IFERROR(G28/H28,0)</f>
        <v/>
      </c>
      <c r="J28" s="29" t="n">
        <v>13.9</v>
      </c>
      <c r="K28" s="29" t="n">
        <v>67.90000000000001</v>
      </c>
      <c r="L28" s="51" t="n">
        <v>128196</v>
      </c>
      <c r="M28" s="35" t="n"/>
      <c r="N28" s="24" t="inlineStr">
        <is>
          <t>Yes</t>
        </is>
      </c>
    </row>
    <row r="29" ht="15" customHeight="1">
      <c r="A29" s="20" t="inlineStr">
        <is>
          <t>C003</t>
        </is>
      </c>
      <c r="B29" s="20" t="inlineStr">
        <is>
          <t>Pinnacle Retail</t>
        </is>
      </c>
      <c r="C29" s="47" t="n">
        <v>45292</v>
      </c>
      <c r="D29" s="48" t="n">
        <v>200</v>
      </c>
      <c r="E29" s="48" t="n">
        <v>118</v>
      </c>
      <c r="F29" s="49">
        <f>IFERROR(E29/D29,0)</f>
        <v/>
      </c>
      <c r="G29" s="34" t="n">
        <v>29</v>
      </c>
      <c r="H29" s="34" t="n">
        <v>45</v>
      </c>
      <c r="I29" s="49">
        <f>IFERROR(G29/H29,0)</f>
        <v/>
      </c>
      <c r="J29" s="28" t="n">
        <v>6.8</v>
      </c>
      <c r="K29" s="28" t="n">
        <v>10.2</v>
      </c>
      <c r="L29" s="48" t="n">
        <v>19098</v>
      </c>
      <c r="M29" s="34" t="n">
        <v>68</v>
      </c>
      <c r="N29" s="20" t="inlineStr">
        <is>
          <t>Partial</t>
        </is>
      </c>
    </row>
    <row r="30" ht="15" customHeight="1">
      <c r="A30" s="24" t="inlineStr">
        <is>
          <t>C003</t>
        </is>
      </c>
      <c r="B30" s="24" t="inlineStr">
        <is>
          <t>Pinnacle Retail</t>
        </is>
      </c>
      <c r="C30" s="50" t="n">
        <v>45323</v>
      </c>
      <c r="D30" s="51" t="n">
        <v>200</v>
      </c>
      <c r="E30" s="51" t="n">
        <v>130</v>
      </c>
      <c r="F30" s="52">
        <f>IFERROR(E30/D30,0)</f>
        <v/>
      </c>
      <c r="G30" s="35" t="n">
        <v>27</v>
      </c>
      <c r="H30" s="35" t="n">
        <v>45</v>
      </c>
      <c r="I30" s="52">
        <f>IFERROR(G30/H30,0)</f>
        <v/>
      </c>
      <c r="J30" s="29" t="n">
        <v>7.7</v>
      </c>
      <c r="K30" s="29" t="n">
        <v>34.5</v>
      </c>
      <c r="L30" s="51" t="n">
        <v>86142</v>
      </c>
      <c r="M30" s="35" t="n"/>
      <c r="N30" s="24" t="inlineStr">
        <is>
          <t>Partial</t>
        </is>
      </c>
    </row>
    <row r="31" ht="15" customHeight="1">
      <c r="A31" s="20" t="inlineStr">
        <is>
          <t>C003</t>
        </is>
      </c>
      <c r="B31" s="20" t="inlineStr">
        <is>
          <t>Pinnacle Retail</t>
        </is>
      </c>
      <c r="C31" s="47" t="n">
        <v>45352</v>
      </c>
      <c r="D31" s="48" t="n">
        <v>200</v>
      </c>
      <c r="E31" s="48" t="n">
        <v>113</v>
      </c>
      <c r="F31" s="49">
        <f>IFERROR(E31/D31,0)</f>
        <v/>
      </c>
      <c r="G31" s="34" t="n">
        <v>27</v>
      </c>
      <c r="H31" s="34" t="n">
        <v>45</v>
      </c>
      <c r="I31" s="49">
        <f>IFERROR(G31/H31,0)</f>
        <v/>
      </c>
      <c r="J31" s="28" t="n">
        <v>6.6</v>
      </c>
      <c r="K31" s="28" t="n">
        <v>34.6</v>
      </c>
      <c r="L31" s="48" t="n">
        <v>118014</v>
      </c>
      <c r="M31" s="34" t="n"/>
      <c r="N31" s="20" t="inlineStr">
        <is>
          <t>Partial</t>
        </is>
      </c>
    </row>
    <row r="32" ht="15" customHeight="1">
      <c r="A32" s="24" t="inlineStr">
        <is>
          <t>C003</t>
        </is>
      </c>
      <c r="B32" s="24" t="inlineStr">
        <is>
          <t>Pinnacle Retail</t>
        </is>
      </c>
      <c r="C32" s="50" t="n">
        <v>45383</v>
      </c>
      <c r="D32" s="51" t="n">
        <v>200</v>
      </c>
      <c r="E32" s="51" t="n">
        <v>114</v>
      </c>
      <c r="F32" s="52">
        <f>IFERROR(E32/D32,0)</f>
        <v/>
      </c>
      <c r="G32" s="35" t="n">
        <v>29</v>
      </c>
      <c r="H32" s="35" t="n">
        <v>45</v>
      </c>
      <c r="I32" s="52">
        <f>IFERROR(G32/H32,0)</f>
        <v/>
      </c>
      <c r="J32" s="29" t="n">
        <v>7.6</v>
      </c>
      <c r="K32" s="29" t="n">
        <v>17.2</v>
      </c>
      <c r="L32" s="51" t="n">
        <v>48054</v>
      </c>
      <c r="M32" s="35" t="n"/>
      <c r="N32" s="24" t="inlineStr">
        <is>
          <t>Partial</t>
        </is>
      </c>
    </row>
    <row r="33" ht="15" customHeight="1">
      <c r="A33" s="20" t="inlineStr">
        <is>
          <t>C003</t>
        </is>
      </c>
      <c r="B33" s="20" t="inlineStr">
        <is>
          <t>Pinnacle Retail</t>
        </is>
      </c>
      <c r="C33" s="47" t="n">
        <v>45413</v>
      </c>
      <c r="D33" s="48" t="n">
        <v>200</v>
      </c>
      <c r="E33" s="48" t="n">
        <v>115</v>
      </c>
      <c r="F33" s="49">
        <f>IFERROR(E33/D33,0)</f>
        <v/>
      </c>
      <c r="G33" s="34" t="n">
        <v>30</v>
      </c>
      <c r="H33" s="34" t="n">
        <v>45</v>
      </c>
      <c r="I33" s="49">
        <f>IFERROR(G33/H33,0)</f>
        <v/>
      </c>
      <c r="J33" s="28" t="n">
        <v>6.4</v>
      </c>
      <c r="K33" s="28" t="n">
        <v>33.5</v>
      </c>
      <c r="L33" s="48" t="n">
        <v>83688</v>
      </c>
      <c r="M33" s="34" t="n"/>
      <c r="N33" s="20" t="inlineStr">
        <is>
          <t>Partial</t>
        </is>
      </c>
    </row>
    <row r="34" ht="15" customHeight="1">
      <c r="A34" s="24" t="inlineStr">
        <is>
          <t>C003</t>
        </is>
      </c>
      <c r="B34" s="24" t="inlineStr">
        <is>
          <t>Pinnacle Retail</t>
        </is>
      </c>
      <c r="C34" s="50" t="n">
        <v>45444</v>
      </c>
      <c r="D34" s="51" t="n">
        <v>200</v>
      </c>
      <c r="E34" s="51" t="n">
        <v>122</v>
      </c>
      <c r="F34" s="52">
        <f>IFERROR(E34/D34,0)</f>
        <v/>
      </c>
      <c r="G34" s="35" t="n">
        <v>30</v>
      </c>
      <c r="H34" s="35" t="n">
        <v>45</v>
      </c>
      <c r="I34" s="52">
        <f>IFERROR(G34/H34,0)</f>
        <v/>
      </c>
      <c r="J34" s="29" t="n">
        <v>7.9</v>
      </c>
      <c r="K34" s="29" t="n">
        <v>19.5</v>
      </c>
      <c r="L34" s="51" t="n">
        <v>43791</v>
      </c>
      <c r="M34" s="35" t="n"/>
      <c r="N34" s="24" t="inlineStr">
        <is>
          <t>Partial</t>
        </is>
      </c>
    </row>
    <row r="35" ht="15" customHeight="1">
      <c r="A35" s="20" t="inlineStr">
        <is>
          <t>C003</t>
        </is>
      </c>
      <c r="B35" s="20" t="inlineStr">
        <is>
          <t>Pinnacle Retail</t>
        </is>
      </c>
      <c r="C35" s="47" t="n">
        <v>45474</v>
      </c>
      <c r="D35" s="48" t="n">
        <v>200</v>
      </c>
      <c r="E35" s="48" t="n">
        <v>121</v>
      </c>
      <c r="F35" s="49">
        <f>IFERROR(E35/D35,0)</f>
        <v/>
      </c>
      <c r="G35" s="34" t="n">
        <v>29</v>
      </c>
      <c r="H35" s="34" t="n">
        <v>45</v>
      </c>
      <c r="I35" s="49">
        <f>IFERROR(G35/H35,0)</f>
        <v/>
      </c>
      <c r="J35" s="28" t="n">
        <v>7.5</v>
      </c>
      <c r="K35" s="28" t="n">
        <v>51</v>
      </c>
      <c r="L35" s="48" t="n">
        <v>143877</v>
      </c>
      <c r="M35" s="34" t="n"/>
      <c r="N35" s="20" t="inlineStr">
        <is>
          <t>Partial</t>
        </is>
      </c>
    </row>
    <row r="36" ht="15" customHeight="1">
      <c r="A36" s="24" t="inlineStr">
        <is>
          <t>C003</t>
        </is>
      </c>
      <c r="B36" s="24" t="inlineStr">
        <is>
          <t>Pinnacle Retail</t>
        </is>
      </c>
      <c r="C36" s="50" t="n">
        <v>45505</v>
      </c>
      <c r="D36" s="51" t="n">
        <v>200</v>
      </c>
      <c r="E36" s="51" t="n">
        <v>118</v>
      </c>
      <c r="F36" s="52">
        <f>IFERROR(E36/D36,0)</f>
        <v/>
      </c>
      <c r="G36" s="35" t="n">
        <v>31</v>
      </c>
      <c r="H36" s="35" t="n">
        <v>45</v>
      </c>
      <c r="I36" s="52">
        <f>IFERROR(G36/H36,0)</f>
        <v/>
      </c>
      <c r="J36" s="29" t="n">
        <v>7.3</v>
      </c>
      <c r="K36" s="29" t="n">
        <v>52.6</v>
      </c>
      <c r="L36" s="51" t="n">
        <v>128928</v>
      </c>
      <c r="M36" s="35" t="n"/>
      <c r="N36" s="24" t="inlineStr">
        <is>
          <t>Partial</t>
        </is>
      </c>
    </row>
    <row r="37" ht="15" customHeight="1">
      <c r="A37" s="20" t="inlineStr">
        <is>
          <t>C003</t>
        </is>
      </c>
      <c r="B37" s="20" t="inlineStr">
        <is>
          <t>Pinnacle Retail</t>
        </is>
      </c>
      <c r="C37" s="47" t="n">
        <v>45536</v>
      </c>
      <c r="D37" s="48" t="n">
        <v>200</v>
      </c>
      <c r="E37" s="48" t="n">
        <v>126</v>
      </c>
      <c r="F37" s="49">
        <f>IFERROR(E37/D37,0)</f>
        <v/>
      </c>
      <c r="G37" s="34" t="n">
        <v>31</v>
      </c>
      <c r="H37" s="34" t="n">
        <v>45</v>
      </c>
      <c r="I37" s="49">
        <f>IFERROR(G37/H37,0)</f>
        <v/>
      </c>
      <c r="J37" s="28" t="n">
        <v>7.7</v>
      </c>
      <c r="K37" s="28" t="n">
        <v>69.2</v>
      </c>
      <c r="L37" s="48" t="n">
        <v>78543</v>
      </c>
      <c r="M37" s="34" t="n"/>
      <c r="N37" s="20" t="inlineStr">
        <is>
          <t>Partial</t>
        </is>
      </c>
    </row>
    <row r="38" ht="15" customHeight="1">
      <c r="A38" s="24" t="inlineStr">
        <is>
          <t>C003</t>
        </is>
      </c>
      <c r="B38" s="24" t="inlineStr">
        <is>
          <t>Pinnacle Retail</t>
        </is>
      </c>
      <c r="C38" s="50" t="n">
        <v>45566</v>
      </c>
      <c r="D38" s="51" t="n">
        <v>200</v>
      </c>
      <c r="E38" s="51" t="n">
        <v>136</v>
      </c>
      <c r="F38" s="52">
        <f>IFERROR(E38/D38,0)</f>
        <v/>
      </c>
      <c r="G38" s="35" t="n">
        <v>32</v>
      </c>
      <c r="H38" s="35" t="n">
        <v>45</v>
      </c>
      <c r="I38" s="52">
        <f>IFERROR(G38/H38,0)</f>
        <v/>
      </c>
      <c r="J38" s="29" t="n">
        <v>7.1</v>
      </c>
      <c r="K38" s="29" t="n">
        <v>35.9</v>
      </c>
      <c r="L38" s="51" t="n">
        <v>107193</v>
      </c>
      <c r="M38" s="35" t="n"/>
      <c r="N38" s="24" t="inlineStr">
        <is>
          <t>Partial</t>
        </is>
      </c>
    </row>
    <row r="39" ht="15" customHeight="1">
      <c r="A39" s="20" t="inlineStr">
        <is>
          <t>C003</t>
        </is>
      </c>
      <c r="B39" s="20" t="inlineStr">
        <is>
          <t>Pinnacle Retail</t>
        </is>
      </c>
      <c r="C39" s="47" t="n">
        <v>45597</v>
      </c>
      <c r="D39" s="48" t="n">
        <v>200</v>
      </c>
      <c r="E39" s="48" t="n">
        <v>128</v>
      </c>
      <c r="F39" s="49">
        <f>IFERROR(E39/D39,0)</f>
        <v/>
      </c>
      <c r="G39" s="34" t="n">
        <v>31</v>
      </c>
      <c r="H39" s="34" t="n">
        <v>45</v>
      </c>
      <c r="I39" s="49">
        <f>IFERROR(G39/H39,0)</f>
        <v/>
      </c>
      <c r="J39" s="28" t="n">
        <v>8.1</v>
      </c>
      <c r="K39" s="28" t="n">
        <v>47.4</v>
      </c>
      <c r="L39" s="48" t="n">
        <v>84192</v>
      </c>
      <c r="M39" s="34" t="n"/>
      <c r="N39" s="20" t="inlineStr">
        <is>
          <t>Partial</t>
        </is>
      </c>
    </row>
    <row r="40" ht="15" customHeight="1">
      <c r="A40" s="24" t="inlineStr">
        <is>
          <t>C003</t>
        </is>
      </c>
      <c r="B40" s="24" t="inlineStr">
        <is>
          <t>Pinnacle Retail</t>
        </is>
      </c>
      <c r="C40" s="50" t="n">
        <v>45627</v>
      </c>
      <c r="D40" s="51" t="n">
        <v>200</v>
      </c>
      <c r="E40" s="51" t="n">
        <v>131</v>
      </c>
      <c r="F40" s="52">
        <f>IFERROR(E40/D40,0)</f>
        <v/>
      </c>
      <c r="G40" s="35" t="n">
        <v>31</v>
      </c>
      <c r="H40" s="35" t="n">
        <v>45</v>
      </c>
      <c r="I40" s="52">
        <f>IFERROR(G40/H40,0)</f>
        <v/>
      </c>
      <c r="J40" s="29" t="n">
        <v>7.5</v>
      </c>
      <c r="K40" s="29" t="n">
        <v>10.4</v>
      </c>
      <c r="L40" s="51" t="n">
        <v>87495</v>
      </c>
      <c r="M40" s="35" t="n"/>
      <c r="N40" s="24" t="inlineStr">
        <is>
          <t>Partial</t>
        </is>
      </c>
    </row>
    <row r="41" ht="15" customHeight="1">
      <c r="A41" s="20" t="inlineStr">
        <is>
          <t>C004</t>
        </is>
      </c>
      <c r="B41" s="20" t="inlineStr">
        <is>
          <t>Orion Manufacturing</t>
        </is>
      </c>
      <c r="C41" s="47" t="n">
        <v>45292</v>
      </c>
      <c r="D41" s="48" t="n">
        <v>150</v>
      </c>
      <c r="E41" s="48" t="n">
        <v>129</v>
      </c>
      <c r="F41" s="49">
        <f>IFERROR(E41/D41,0)</f>
        <v/>
      </c>
      <c r="G41" s="34" t="n">
        <v>37</v>
      </c>
      <c r="H41" s="34" t="n">
        <v>45</v>
      </c>
      <c r="I41" s="49">
        <f>IFERROR(G41/H41,0)</f>
        <v/>
      </c>
      <c r="J41" s="28" t="n">
        <v>12.2</v>
      </c>
      <c r="K41" s="28" t="n">
        <v>27.8</v>
      </c>
      <c r="L41" s="48" t="n">
        <v>105972</v>
      </c>
      <c r="M41" s="34" t="n">
        <v>27</v>
      </c>
      <c r="N41" s="20" t="inlineStr">
        <is>
          <t>Yes</t>
        </is>
      </c>
    </row>
    <row r="42" ht="15" customHeight="1">
      <c r="A42" s="24" t="inlineStr">
        <is>
          <t>C004</t>
        </is>
      </c>
      <c r="B42" s="24" t="inlineStr">
        <is>
          <t>Orion Manufacturing</t>
        </is>
      </c>
      <c r="C42" s="50" t="n">
        <v>45323</v>
      </c>
      <c r="D42" s="51" t="n">
        <v>150</v>
      </c>
      <c r="E42" s="51" t="n">
        <v>130</v>
      </c>
      <c r="F42" s="52">
        <f>IFERROR(E42/D42,0)</f>
        <v/>
      </c>
      <c r="G42" s="35" t="n">
        <v>39</v>
      </c>
      <c r="H42" s="35" t="n">
        <v>45</v>
      </c>
      <c r="I42" s="52">
        <f>IFERROR(G42/H42,0)</f>
        <v/>
      </c>
      <c r="J42" s="29" t="n">
        <v>12.9</v>
      </c>
      <c r="K42" s="29" t="n">
        <v>26.5</v>
      </c>
      <c r="L42" s="51" t="n">
        <v>127392</v>
      </c>
      <c r="M42" s="35" t="n"/>
      <c r="N42" s="24" t="inlineStr">
        <is>
          <t>Yes</t>
        </is>
      </c>
    </row>
    <row r="43" ht="15" customHeight="1">
      <c r="A43" s="20" t="inlineStr">
        <is>
          <t>C004</t>
        </is>
      </c>
      <c r="B43" s="20" t="inlineStr">
        <is>
          <t>Orion Manufacturing</t>
        </is>
      </c>
      <c r="C43" s="47" t="n">
        <v>45352</v>
      </c>
      <c r="D43" s="48" t="n">
        <v>150</v>
      </c>
      <c r="E43" s="48" t="n">
        <v>132</v>
      </c>
      <c r="F43" s="49">
        <f>IFERROR(E43/D43,0)</f>
        <v/>
      </c>
      <c r="G43" s="34" t="n">
        <v>38</v>
      </c>
      <c r="H43" s="34" t="n">
        <v>45</v>
      </c>
      <c r="I43" s="49">
        <f>IFERROR(G43/H43,0)</f>
        <v/>
      </c>
      <c r="J43" s="28" t="n">
        <v>12.4</v>
      </c>
      <c r="K43" s="28" t="n">
        <v>30.3</v>
      </c>
      <c r="L43" s="48" t="n">
        <v>27162</v>
      </c>
      <c r="M43" s="34" t="n"/>
      <c r="N43" s="20" t="inlineStr">
        <is>
          <t>Yes</t>
        </is>
      </c>
    </row>
    <row r="44" ht="15" customHeight="1">
      <c r="A44" s="24" t="inlineStr">
        <is>
          <t>C004</t>
        </is>
      </c>
      <c r="B44" s="24" t="inlineStr">
        <is>
          <t>Orion Manufacturing</t>
        </is>
      </c>
      <c r="C44" s="50" t="n">
        <v>45383</v>
      </c>
      <c r="D44" s="51" t="n">
        <v>150</v>
      </c>
      <c r="E44" s="51" t="n">
        <v>131</v>
      </c>
      <c r="F44" s="52">
        <f>IFERROR(E44/D44,0)</f>
        <v/>
      </c>
      <c r="G44" s="35" t="n">
        <v>39</v>
      </c>
      <c r="H44" s="35" t="n">
        <v>45</v>
      </c>
      <c r="I44" s="52">
        <f>IFERROR(G44/H44,0)</f>
        <v/>
      </c>
      <c r="J44" s="29" t="n">
        <v>13.3</v>
      </c>
      <c r="K44" s="29" t="n">
        <v>10.1</v>
      </c>
      <c r="L44" s="51" t="n">
        <v>142032</v>
      </c>
      <c r="M44" s="35" t="n"/>
      <c r="N44" s="24" t="inlineStr">
        <is>
          <t>Yes</t>
        </is>
      </c>
    </row>
    <row r="45" ht="15" customHeight="1">
      <c r="A45" s="20" t="inlineStr">
        <is>
          <t>C004</t>
        </is>
      </c>
      <c r="B45" s="20" t="inlineStr">
        <is>
          <t>Orion Manufacturing</t>
        </is>
      </c>
      <c r="C45" s="47" t="n">
        <v>45413</v>
      </c>
      <c r="D45" s="48" t="n">
        <v>150</v>
      </c>
      <c r="E45" s="48" t="n">
        <v>128</v>
      </c>
      <c r="F45" s="49">
        <f>IFERROR(E45/D45,0)</f>
        <v/>
      </c>
      <c r="G45" s="34" t="n">
        <v>38</v>
      </c>
      <c r="H45" s="34" t="n">
        <v>45</v>
      </c>
      <c r="I45" s="49">
        <f>IFERROR(G45/H45,0)</f>
        <v/>
      </c>
      <c r="J45" s="28" t="n">
        <v>12.8</v>
      </c>
      <c r="K45" s="28" t="n">
        <v>59.5</v>
      </c>
      <c r="L45" s="48" t="n">
        <v>118035</v>
      </c>
      <c r="M45" s="34" t="n"/>
      <c r="N45" s="20" t="inlineStr">
        <is>
          <t>Yes</t>
        </is>
      </c>
    </row>
    <row r="46" ht="15" customHeight="1">
      <c r="A46" s="24" t="inlineStr">
        <is>
          <t>C004</t>
        </is>
      </c>
      <c r="B46" s="24" t="inlineStr">
        <is>
          <t>Orion Manufacturing</t>
        </is>
      </c>
      <c r="C46" s="50" t="n">
        <v>45444</v>
      </c>
      <c r="D46" s="51" t="n">
        <v>150</v>
      </c>
      <c r="E46" s="51" t="n">
        <v>135</v>
      </c>
      <c r="F46" s="52">
        <f>IFERROR(E46/D46,0)</f>
        <v/>
      </c>
      <c r="G46" s="35" t="n">
        <v>38</v>
      </c>
      <c r="H46" s="35" t="n">
        <v>45</v>
      </c>
      <c r="I46" s="52">
        <f>IFERROR(G46/H46,0)</f>
        <v/>
      </c>
      <c r="J46" s="29" t="n">
        <v>12.2</v>
      </c>
      <c r="K46" s="29" t="n">
        <v>57.9</v>
      </c>
      <c r="L46" s="51" t="n">
        <v>91167</v>
      </c>
      <c r="M46" s="35" t="n"/>
      <c r="N46" s="24" t="inlineStr">
        <is>
          <t>Yes</t>
        </is>
      </c>
    </row>
    <row r="47" ht="15" customHeight="1">
      <c r="A47" s="20" t="inlineStr">
        <is>
          <t>C004</t>
        </is>
      </c>
      <c r="B47" s="20" t="inlineStr">
        <is>
          <t>Orion Manufacturing</t>
        </is>
      </c>
      <c r="C47" s="47" t="n">
        <v>45474</v>
      </c>
      <c r="D47" s="48" t="n">
        <v>150</v>
      </c>
      <c r="E47" s="48" t="n">
        <v>135</v>
      </c>
      <c r="F47" s="49">
        <f>IFERROR(E47/D47,0)</f>
        <v/>
      </c>
      <c r="G47" s="34" t="n">
        <v>40</v>
      </c>
      <c r="H47" s="34" t="n">
        <v>45</v>
      </c>
      <c r="I47" s="49">
        <f>IFERROR(G47/H47,0)</f>
        <v/>
      </c>
      <c r="J47" s="28" t="n">
        <v>13</v>
      </c>
      <c r="K47" s="28" t="n">
        <v>9.6</v>
      </c>
      <c r="L47" s="48" t="n">
        <v>139035</v>
      </c>
      <c r="M47" s="34" t="n"/>
      <c r="N47" s="20" t="inlineStr">
        <is>
          <t>Yes</t>
        </is>
      </c>
    </row>
    <row r="48" ht="15" customHeight="1">
      <c r="A48" s="24" t="inlineStr">
        <is>
          <t>C004</t>
        </is>
      </c>
      <c r="B48" s="24" t="inlineStr">
        <is>
          <t>Orion Manufacturing</t>
        </is>
      </c>
      <c r="C48" s="50" t="n">
        <v>45505</v>
      </c>
      <c r="D48" s="51" t="n">
        <v>150</v>
      </c>
      <c r="E48" s="51" t="n">
        <v>140</v>
      </c>
      <c r="F48" s="52">
        <f>IFERROR(E48/D48,0)</f>
        <v/>
      </c>
      <c r="G48" s="35" t="n">
        <v>39</v>
      </c>
      <c r="H48" s="35" t="n">
        <v>45</v>
      </c>
      <c r="I48" s="52">
        <f>IFERROR(G48/H48,0)</f>
        <v/>
      </c>
      <c r="J48" s="29" t="n">
        <v>12.4</v>
      </c>
      <c r="K48" s="29" t="n">
        <v>40.6</v>
      </c>
      <c r="L48" s="51" t="n">
        <v>90999</v>
      </c>
      <c r="M48" s="35" t="n"/>
      <c r="N48" s="24" t="inlineStr">
        <is>
          <t>Yes</t>
        </is>
      </c>
    </row>
    <row r="49" ht="15" customHeight="1">
      <c r="A49" s="20" t="inlineStr">
        <is>
          <t>C004</t>
        </is>
      </c>
      <c r="B49" s="20" t="inlineStr">
        <is>
          <t>Orion Manufacturing</t>
        </is>
      </c>
      <c r="C49" s="47" t="n">
        <v>45536</v>
      </c>
      <c r="D49" s="48" t="n">
        <v>150</v>
      </c>
      <c r="E49" s="48" t="n">
        <v>136</v>
      </c>
      <c r="F49" s="49">
        <f>IFERROR(E49/D49,0)</f>
        <v/>
      </c>
      <c r="G49" s="34" t="n">
        <v>41</v>
      </c>
      <c r="H49" s="34" t="n">
        <v>45</v>
      </c>
      <c r="I49" s="49">
        <f>IFERROR(G49/H49,0)</f>
        <v/>
      </c>
      <c r="J49" s="28" t="n">
        <v>13.5</v>
      </c>
      <c r="K49" s="28" t="n">
        <v>67.8</v>
      </c>
      <c r="L49" s="48" t="n">
        <v>133494</v>
      </c>
      <c r="M49" s="34" t="n"/>
      <c r="N49" s="20" t="inlineStr">
        <is>
          <t>Yes</t>
        </is>
      </c>
    </row>
    <row r="50" ht="15" customHeight="1">
      <c r="A50" s="24" t="inlineStr">
        <is>
          <t>C004</t>
        </is>
      </c>
      <c r="B50" s="24" t="inlineStr">
        <is>
          <t>Orion Manufacturing</t>
        </is>
      </c>
      <c r="C50" s="50" t="n">
        <v>45566</v>
      </c>
      <c r="D50" s="51" t="n">
        <v>150</v>
      </c>
      <c r="E50" s="51" t="n">
        <v>146</v>
      </c>
      <c r="F50" s="52">
        <f>IFERROR(E50/D50,0)</f>
        <v/>
      </c>
      <c r="G50" s="35" t="n">
        <v>41</v>
      </c>
      <c r="H50" s="35" t="n">
        <v>45</v>
      </c>
      <c r="I50" s="52">
        <f>IFERROR(G50/H50,0)</f>
        <v/>
      </c>
      <c r="J50" s="29" t="n">
        <v>12.1</v>
      </c>
      <c r="K50" s="29" t="n">
        <v>50.6</v>
      </c>
      <c r="L50" s="51" t="n">
        <v>83775</v>
      </c>
      <c r="M50" s="35" t="n"/>
      <c r="N50" s="24" t="inlineStr">
        <is>
          <t>Yes</t>
        </is>
      </c>
    </row>
    <row r="51" ht="15" customHeight="1">
      <c r="A51" s="20" t="inlineStr">
        <is>
          <t>C004</t>
        </is>
      </c>
      <c r="B51" s="20" t="inlineStr">
        <is>
          <t>Orion Manufacturing</t>
        </is>
      </c>
      <c r="C51" s="47" t="n">
        <v>45597</v>
      </c>
      <c r="D51" s="48" t="n">
        <v>150</v>
      </c>
      <c r="E51" s="48" t="n">
        <v>139</v>
      </c>
      <c r="F51" s="49">
        <f>IFERROR(E51/D51,0)</f>
        <v/>
      </c>
      <c r="G51" s="34" t="n">
        <v>42</v>
      </c>
      <c r="H51" s="34" t="n">
        <v>45</v>
      </c>
      <c r="I51" s="49">
        <f>IFERROR(G51/H51,0)</f>
        <v/>
      </c>
      <c r="J51" s="28" t="n">
        <v>13.4</v>
      </c>
      <c r="K51" s="28" t="n">
        <v>34</v>
      </c>
      <c r="L51" s="48" t="n">
        <v>131988</v>
      </c>
      <c r="M51" s="34" t="n"/>
      <c r="N51" s="20" t="inlineStr">
        <is>
          <t>Yes</t>
        </is>
      </c>
    </row>
    <row r="52" ht="15" customHeight="1">
      <c r="A52" s="24" t="inlineStr">
        <is>
          <t>C004</t>
        </is>
      </c>
      <c r="B52" s="24" t="inlineStr">
        <is>
          <t>Orion Manufacturing</t>
        </is>
      </c>
      <c r="C52" s="50" t="n">
        <v>45627</v>
      </c>
      <c r="D52" s="51" t="n">
        <v>150</v>
      </c>
      <c r="E52" s="51" t="n">
        <v>147</v>
      </c>
      <c r="F52" s="52">
        <f>IFERROR(E52/D52,0)</f>
        <v/>
      </c>
      <c r="G52" s="35" t="n">
        <v>40</v>
      </c>
      <c r="H52" s="35" t="n">
        <v>45</v>
      </c>
      <c r="I52" s="52">
        <f>IFERROR(G52/H52,0)</f>
        <v/>
      </c>
      <c r="J52" s="29" t="n">
        <v>12.7</v>
      </c>
      <c r="K52" s="29" t="n">
        <v>34</v>
      </c>
      <c r="L52" s="51" t="n">
        <v>79581</v>
      </c>
      <c r="M52" s="35" t="n"/>
      <c r="N52" s="24" t="inlineStr">
        <is>
          <t>Yes</t>
        </is>
      </c>
    </row>
    <row r="53" ht="15" customHeight="1">
      <c r="A53" s="20" t="inlineStr">
        <is>
          <t>C005</t>
        </is>
      </c>
      <c r="B53" s="20" t="inlineStr">
        <is>
          <t>Zenith Logistics</t>
        </is>
      </c>
      <c r="C53" s="47" t="n">
        <v>45292</v>
      </c>
      <c r="D53" s="48" t="n">
        <v>100</v>
      </c>
      <c r="E53" s="48" t="n">
        <v>30</v>
      </c>
      <c r="F53" s="49">
        <f>IFERROR(E53/D53,0)</f>
        <v/>
      </c>
      <c r="G53" s="34" t="n">
        <v>19</v>
      </c>
      <c r="H53" s="34" t="n">
        <v>45</v>
      </c>
      <c r="I53" s="49">
        <f>IFERROR(G53/H53,0)</f>
        <v/>
      </c>
      <c r="J53" s="28" t="n">
        <v>2.8</v>
      </c>
      <c r="K53" s="28" t="n">
        <v>21.3</v>
      </c>
      <c r="L53" s="48" t="n">
        <v>28763</v>
      </c>
      <c r="M53" s="34" t="n">
        <v>113</v>
      </c>
      <c r="N53" s="20" t="inlineStr">
        <is>
          <t>No</t>
        </is>
      </c>
    </row>
    <row r="54" ht="15" customHeight="1">
      <c r="A54" s="24" t="inlineStr">
        <is>
          <t>C005</t>
        </is>
      </c>
      <c r="B54" s="24" t="inlineStr">
        <is>
          <t>Zenith Logistics</t>
        </is>
      </c>
      <c r="C54" s="50" t="n">
        <v>45323</v>
      </c>
      <c r="D54" s="51" t="n">
        <v>100</v>
      </c>
      <c r="E54" s="51" t="n">
        <v>33</v>
      </c>
      <c r="F54" s="52">
        <f>IFERROR(E54/D54,0)</f>
        <v/>
      </c>
      <c r="G54" s="35" t="n">
        <v>17</v>
      </c>
      <c r="H54" s="35" t="n">
        <v>45</v>
      </c>
      <c r="I54" s="52">
        <f>IFERROR(G54/H54,0)</f>
        <v/>
      </c>
      <c r="J54" s="29" t="n">
        <v>2.7</v>
      </c>
      <c r="K54" s="29" t="n">
        <v>41.5</v>
      </c>
      <c r="L54" s="51" t="n">
        <v>17583</v>
      </c>
      <c r="M54" s="35" t="n"/>
      <c r="N54" s="24" t="inlineStr">
        <is>
          <t>No</t>
        </is>
      </c>
    </row>
    <row r="55" ht="15" customHeight="1">
      <c r="A55" s="20" t="inlineStr">
        <is>
          <t>C005</t>
        </is>
      </c>
      <c r="B55" s="20" t="inlineStr">
        <is>
          <t>Zenith Logistics</t>
        </is>
      </c>
      <c r="C55" s="47" t="n">
        <v>45352</v>
      </c>
      <c r="D55" s="48" t="n">
        <v>100</v>
      </c>
      <c r="E55" s="48" t="n">
        <v>33</v>
      </c>
      <c r="F55" s="49">
        <f>IFERROR(E55/D55,0)</f>
        <v/>
      </c>
      <c r="G55" s="34" t="n">
        <v>17</v>
      </c>
      <c r="H55" s="34" t="n">
        <v>45</v>
      </c>
      <c r="I55" s="49">
        <f>IFERROR(G55/H55,0)</f>
        <v/>
      </c>
      <c r="J55" s="28" t="n">
        <v>2.4</v>
      </c>
      <c r="K55" s="28" t="n">
        <v>20.1</v>
      </c>
      <c r="L55" s="48" t="n">
        <v>11628</v>
      </c>
      <c r="M55" s="34" t="n"/>
      <c r="N55" s="20" t="inlineStr">
        <is>
          <t>No</t>
        </is>
      </c>
    </row>
    <row r="56" ht="15" customHeight="1">
      <c r="A56" s="24" t="inlineStr">
        <is>
          <t>C005</t>
        </is>
      </c>
      <c r="B56" s="24" t="inlineStr">
        <is>
          <t>Zenith Logistics</t>
        </is>
      </c>
      <c r="C56" s="50" t="n">
        <v>45383</v>
      </c>
      <c r="D56" s="51" t="n">
        <v>100</v>
      </c>
      <c r="E56" s="51" t="n">
        <v>36</v>
      </c>
      <c r="F56" s="52">
        <f>IFERROR(E56/D56,0)</f>
        <v/>
      </c>
      <c r="G56" s="35" t="n">
        <v>20</v>
      </c>
      <c r="H56" s="35" t="n">
        <v>45</v>
      </c>
      <c r="I56" s="52">
        <f>IFERROR(G56/H56,0)</f>
        <v/>
      </c>
      <c r="J56" s="29" t="n">
        <v>3.8</v>
      </c>
      <c r="K56" s="29" t="n">
        <v>51.5</v>
      </c>
      <c r="L56" s="51" t="n">
        <v>7473</v>
      </c>
      <c r="M56" s="35" t="n"/>
      <c r="N56" s="24" t="inlineStr">
        <is>
          <t>No</t>
        </is>
      </c>
    </row>
    <row r="57" ht="15" customHeight="1">
      <c r="A57" s="20" t="inlineStr">
        <is>
          <t>C005</t>
        </is>
      </c>
      <c r="B57" s="20" t="inlineStr">
        <is>
          <t>Zenith Logistics</t>
        </is>
      </c>
      <c r="C57" s="47" t="n">
        <v>45413</v>
      </c>
      <c r="D57" s="48" t="n">
        <v>100</v>
      </c>
      <c r="E57" s="48" t="n">
        <v>38</v>
      </c>
      <c r="F57" s="49">
        <f>IFERROR(E57/D57,0)</f>
        <v/>
      </c>
      <c r="G57" s="34" t="n">
        <v>20</v>
      </c>
      <c r="H57" s="34" t="n">
        <v>45</v>
      </c>
      <c r="I57" s="49">
        <f>IFERROR(G57/H57,0)</f>
        <v/>
      </c>
      <c r="J57" s="28" t="n">
        <v>2.5</v>
      </c>
      <c r="K57" s="28" t="n">
        <v>26.3</v>
      </c>
      <c r="L57" s="48" t="n">
        <v>15633</v>
      </c>
      <c r="M57" s="34" t="n"/>
      <c r="N57" s="20" t="inlineStr">
        <is>
          <t>No</t>
        </is>
      </c>
    </row>
    <row r="58" ht="15" customHeight="1">
      <c r="A58" s="24" t="inlineStr">
        <is>
          <t>C005</t>
        </is>
      </c>
      <c r="B58" s="24" t="inlineStr">
        <is>
          <t>Zenith Logistics</t>
        </is>
      </c>
      <c r="C58" s="50" t="n">
        <v>45444</v>
      </c>
      <c r="D58" s="51" t="n">
        <v>100</v>
      </c>
      <c r="E58" s="51" t="n">
        <v>34</v>
      </c>
      <c r="F58" s="52">
        <f>IFERROR(E58/D58,0)</f>
        <v/>
      </c>
      <c r="G58" s="35" t="n">
        <v>20</v>
      </c>
      <c r="H58" s="35" t="n">
        <v>45</v>
      </c>
      <c r="I58" s="52">
        <f>IFERROR(G58/H58,0)</f>
        <v/>
      </c>
      <c r="J58" s="29" t="n">
        <v>3.8</v>
      </c>
      <c r="K58" s="29" t="n">
        <v>51.8</v>
      </c>
      <c r="L58" s="51" t="n">
        <v>15848</v>
      </c>
      <c r="M58" s="35" t="n"/>
      <c r="N58" s="24" t="inlineStr">
        <is>
          <t>No</t>
        </is>
      </c>
    </row>
    <row r="59" ht="15" customHeight="1">
      <c r="A59" s="20" t="inlineStr">
        <is>
          <t>C005</t>
        </is>
      </c>
      <c r="B59" s="20" t="inlineStr">
        <is>
          <t>Zenith Logistics</t>
        </is>
      </c>
      <c r="C59" s="47" t="n">
        <v>45474</v>
      </c>
      <c r="D59" s="48" t="n">
        <v>100</v>
      </c>
      <c r="E59" s="48" t="n">
        <v>40</v>
      </c>
      <c r="F59" s="49">
        <f>IFERROR(E59/D59,0)</f>
        <v/>
      </c>
      <c r="G59" s="34" t="n">
        <v>19</v>
      </c>
      <c r="H59" s="34" t="n">
        <v>45</v>
      </c>
      <c r="I59" s="49">
        <f>IFERROR(G59/H59,0)</f>
        <v/>
      </c>
      <c r="J59" s="28" t="n">
        <v>3.1</v>
      </c>
      <c r="K59" s="28" t="n">
        <v>46.1</v>
      </c>
      <c r="L59" s="48" t="n">
        <v>20566</v>
      </c>
      <c r="M59" s="34" t="n"/>
      <c r="N59" s="20" t="inlineStr">
        <is>
          <t>No</t>
        </is>
      </c>
    </row>
    <row r="60" ht="15" customHeight="1">
      <c r="A60" s="24" t="inlineStr">
        <is>
          <t>C005</t>
        </is>
      </c>
      <c r="B60" s="24" t="inlineStr">
        <is>
          <t>Zenith Logistics</t>
        </is>
      </c>
      <c r="C60" s="50" t="n">
        <v>45505</v>
      </c>
      <c r="D60" s="51" t="n">
        <v>100</v>
      </c>
      <c r="E60" s="51" t="n">
        <v>43</v>
      </c>
      <c r="F60" s="52">
        <f>IFERROR(E60/D60,0)</f>
        <v/>
      </c>
      <c r="G60" s="35" t="n">
        <v>21</v>
      </c>
      <c r="H60" s="35" t="n">
        <v>45</v>
      </c>
      <c r="I60" s="52">
        <f>IFERROR(G60/H60,0)</f>
        <v/>
      </c>
      <c r="J60" s="29" t="n">
        <v>2.9</v>
      </c>
      <c r="K60" s="29" t="n">
        <v>52.2</v>
      </c>
      <c r="L60" s="51" t="n">
        <v>34420</v>
      </c>
      <c r="M60" s="35" t="n"/>
      <c r="N60" s="24" t="inlineStr">
        <is>
          <t>No</t>
        </is>
      </c>
    </row>
    <row r="61" ht="15" customHeight="1">
      <c r="A61" s="20" t="inlineStr">
        <is>
          <t>C005</t>
        </is>
      </c>
      <c r="B61" s="20" t="inlineStr">
        <is>
          <t>Zenith Logistics</t>
        </is>
      </c>
      <c r="C61" s="47" t="n">
        <v>45536</v>
      </c>
      <c r="D61" s="48" t="n">
        <v>100</v>
      </c>
      <c r="E61" s="48" t="n">
        <v>36</v>
      </c>
      <c r="F61" s="49">
        <f>IFERROR(E61/D61,0)</f>
        <v/>
      </c>
      <c r="G61" s="34" t="n">
        <v>19</v>
      </c>
      <c r="H61" s="34" t="n">
        <v>45</v>
      </c>
      <c r="I61" s="49">
        <f>IFERROR(G61/H61,0)</f>
        <v/>
      </c>
      <c r="J61" s="28" t="n">
        <v>3</v>
      </c>
      <c r="K61" s="28" t="n">
        <v>57.9</v>
      </c>
      <c r="L61" s="48" t="n">
        <v>35737</v>
      </c>
      <c r="M61" s="34" t="n"/>
      <c r="N61" s="20" t="inlineStr">
        <is>
          <t>No</t>
        </is>
      </c>
    </row>
    <row r="62" ht="15" customHeight="1">
      <c r="A62" s="24" t="inlineStr">
        <is>
          <t>C005</t>
        </is>
      </c>
      <c r="B62" s="24" t="inlineStr">
        <is>
          <t>Zenith Logistics</t>
        </is>
      </c>
      <c r="C62" s="50" t="n">
        <v>45566</v>
      </c>
      <c r="D62" s="51" t="n">
        <v>100</v>
      </c>
      <c r="E62" s="51" t="n">
        <v>43</v>
      </c>
      <c r="F62" s="52">
        <f>IFERROR(E62/D62,0)</f>
        <v/>
      </c>
      <c r="G62" s="35" t="n">
        <v>20</v>
      </c>
      <c r="H62" s="35" t="n">
        <v>45</v>
      </c>
      <c r="I62" s="52">
        <f>IFERROR(G62/H62,0)</f>
        <v/>
      </c>
      <c r="J62" s="29" t="n">
        <v>3.2</v>
      </c>
      <c r="K62" s="29" t="n">
        <v>69.09999999999999</v>
      </c>
      <c r="L62" s="51" t="n">
        <v>33874</v>
      </c>
      <c r="M62" s="35" t="n"/>
      <c r="N62" s="24" t="inlineStr">
        <is>
          <t>No</t>
        </is>
      </c>
    </row>
    <row r="63" ht="15" customHeight="1">
      <c r="A63" s="20" t="inlineStr">
        <is>
          <t>C005</t>
        </is>
      </c>
      <c r="B63" s="20" t="inlineStr">
        <is>
          <t>Zenith Logistics</t>
        </is>
      </c>
      <c r="C63" s="47" t="n">
        <v>45597</v>
      </c>
      <c r="D63" s="48" t="n">
        <v>100</v>
      </c>
      <c r="E63" s="48" t="n">
        <v>39</v>
      </c>
      <c r="F63" s="49">
        <f>IFERROR(E63/D63,0)</f>
        <v/>
      </c>
      <c r="G63" s="34" t="n">
        <v>21</v>
      </c>
      <c r="H63" s="34" t="n">
        <v>45</v>
      </c>
      <c r="I63" s="49">
        <f>IFERROR(G63/H63,0)</f>
        <v/>
      </c>
      <c r="J63" s="28" t="n">
        <v>4.1</v>
      </c>
      <c r="K63" s="28" t="n">
        <v>41.4</v>
      </c>
      <c r="L63" s="48" t="n">
        <v>32437</v>
      </c>
      <c r="M63" s="34" t="n"/>
      <c r="N63" s="20" t="inlineStr">
        <is>
          <t>No</t>
        </is>
      </c>
    </row>
    <row r="64" ht="15" customHeight="1">
      <c r="A64" s="24" t="inlineStr">
        <is>
          <t>C005</t>
        </is>
      </c>
      <c r="B64" s="24" t="inlineStr">
        <is>
          <t>Zenith Logistics</t>
        </is>
      </c>
      <c r="C64" s="50" t="n">
        <v>45627</v>
      </c>
      <c r="D64" s="51" t="n">
        <v>100</v>
      </c>
      <c r="E64" s="51" t="n">
        <v>45</v>
      </c>
      <c r="F64" s="52">
        <f>IFERROR(E64/D64,0)</f>
        <v/>
      </c>
      <c r="G64" s="35" t="n">
        <v>20</v>
      </c>
      <c r="H64" s="35" t="n">
        <v>45</v>
      </c>
      <c r="I64" s="52">
        <f>IFERROR(G64/H64,0)</f>
        <v/>
      </c>
      <c r="J64" s="29" t="n">
        <v>4.2</v>
      </c>
      <c r="K64" s="29" t="n">
        <v>17.4</v>
      </c>
      <c r="L64" s="51" t="n">
        <v>21384</v>
      </c>
      <c r="M64" s="35" t="n"/>
      <c r="N64" s="24" t="inlineStr">
        <is>
          <t>No</t>
        </is>
      </c>
    </row>
    <row r="65" ht="15" customHeight="1">
      <c r="A65" s="20" t="inlineStr">
        <is>
          <t>C006</t>
        </is>
      </c>
      <c r="B65" s="20" t="inlineStr">
        <is>
          <t>Beacon Education</t>
        </is>
      </c>
      <c r="C65" s="47" t="n">
        <v>45292</v>
      </c>
      <c r="D65" s="48" t="n">
        <v>50</v>
      </c>
      <c r="E65" s="48" t="n">
        <v>29</v>
      </c>
      <c r="F65" s="49">
        <f>IFERROR(E65/D65,0)</f>
        <v/>
      </c>
      <c r="G65" s="34" t="n">
        <v>28</v>
      </c>
      <c r="H65" s="34" t="n">
        <v>45</v>
      </c>
      <c r="I65" s="49">
        <f>IFERROR(G65/H65,0)</f>
        <v/>
      </c>
      <c r="J65" s="28" t="n">
        <v>7.1</v>
      </c>
      <c r="K65" s="28" t="n">
        <v>9.6</v>
      </c>
      <c r="L65" s="48" t="n">
        <v>116430</v>
      </c>
      <c r="M65" s="34" t="n">
        <v>70</v>
      </c>
      <c r="N65" s="20" t="inlineStr">
        <is>
          <t>Partial</t>
        </is>
      </c>
    </row>
    <row r="66" ht="15" customHeight="1">
      <c r="A66" s="24" t="inlineStr">
        <is>
          <t>C006</t>
        </is>
      </c>
      <c r="B66" s="24" t="inlineStr">
        <is>
          <t>Beacon Education</t>
        </is>
      </c>
      <c r="C66" s="50" t="n">
        <v>45323</v>
      </c>
      <c r="D66" s="51" t="n">
        <v>50</v>
      </c>
      <c r="E66" s="51" t="n">
        <v>32</v>
      </c>
      <c r="F66" s="52">
        <f>IFERROR(E66/D66,0)</f>
        <v/>
      </c>
      <c r="G66" s="35" t="n">
        <v>28</v>
      </c>
      <c r="H66" s="35" t="n">
        <v>45</v>
      </c>
      <c r="I66" s="52">
        <f>IFERROR(G66/H66,0)</f>
        <v/>
      </c>
      <c r="J66" s="29" t="n">
        <v>6.2</v>
      </c>
      <c r="K66" s="29" t="n">
        <v>12.8</v>
      </c>
      <c r="L66" s="51" t="n">
        <v>103338</v>
      </c>
      <c r="M66" s="35" t="n"/>
      <c r="N66" s="24" t="inlineStr">
        <is>
          <t>Partial</t>
        </is>
      </c>
    </row>
    <row r="67" ht="15" customHeight="1">
      <c r="A67" s="20" t="inlineStr">
        <is>
          <t>C006</t>
        </is>
      </c>
      <c r="B67" s="20" t="inlineStr">
        <is>
          <t>Beacon Education</t>
        </is>
      </c>
      <c r="C67" s="47" t="n">
        <v>45352</v>
      </c>
      <c r="D67" s="48" t="n">
        <v>50</v>
      </c>
      <c r="E67" s="48" t="n">
        <v>32</v>
      </c>
      <c r="F67" s="49">
        <f>IFERROR(E67/D67,0)</f>
        <v/>
      </c>
      <c r="G67" s="34" t="n">
        <v>27</v>
      </c>
      <c r="H67" s="34" t="n">
        <v>45</v>
      </c>
      <c r="I67" s="49">
        <f>IFERROR(G67/H67,0)</f>
        <v/>
      </c>
      <c r="J67" s="28" t="n">
        <v>7.8</v>
      </c>
      <c r="K67" s="28" t="n">
        <v>10</v>
      </c>
      <c r="L67" s="48" t="n">
        <v>58653</v>
      </c>
      <c r="M67" s="34" t="n"/>
      <c r="N67" s="20" t="inlineStr">
        <is>
          <t>Partial</t>
        </is>
      </c>
    </row>
    <row r="68" ht="15" customHeight="1">
      <c r="A68" s="24" t="inlineStr">
        <is>
          <t>C006</t>
        </is>
      </c>
      <c r="B68" s="24" t="inlineStr">
        <is>
          <t>Beacon Education</t>
        </is>
      </c>
      <c r="C68" s="50" t="n">
        <v>45383</v>
      </c>
      <c r="D68" s="51" t="n">
        <v>50</v>
      </c>
      <c r="E68" s="51" t="n">
        <v>32</v>
      </c>
      <c r="F68" s="52">
        <f>IFERROR(E68/D68,0)</f>
        <v/>
      </c>
      <c r="G68" s="35" t="n">
        <v>29</v>
      </c>
      <c r="H68" s="35" t="n">
        <v>45</v>
      </c>
      <c r="I68" s="52">
        <f>IFERROR(G68/H68,0)</f>
        <v/>
      </c>
      <c r="J68" s="29" t="n">
        <v>8</v>
      </c>
      <c r="K68" s="29" t="n">
        <v>27.2</v>
      </c>
      <c r="L68" s="51" t="n">
        <v>92946</v>
      </c>
      <c r="M68" s="35" t="n"/>
      <c r="N68" s="24" t="inlineStr">
        <is>
          <t>Partial</t>
        </is>
      </c>
    </row>
    <row r="69" ht="15" customHeight="1">
      <c r="A69" s="20" t="inlineStr">
        <is>
          <t>C006</t>
        </is>
      </c>
      <c r="B69" s="20" t="inlineStr">
        <is>
          <t>Beacon Education</t>
        </is>
      </c>
      <c r="C69" s="47" t="n">
        <v>45413</v>
      </c>
      <c r="D69" s="48" t="n">
        <v>50</v>
      </c>
      <c r="E69" s="48" t="n">
        <v>31</v>
      </c>
      <c r="F69" s="49">
        <f>IFERROR(E69/D69,0)</f>
        <v/>
      </c>
      <c r="G69" s="34" t="n">
        <v>28</v>
      </c>
      <c r="H69" s="34" t="n">
        <v>45</v>
      </c>
      <c r="I69" s="49">
        <f>IFERROR(G69/H69,0)</f>
        <v/>
      </c>
      <c r="J69" s="28" t="n">
        <v>7</v>
      </c>
      <c r="K69" s="28" t="n">
        <v>10.4</v>
      </c>
      <c r="L69" s="48" t="n">
        <v>59145</v>
      </c>
      <c r="M69" s="34" t="n"/>
      <c r="N69" s="20" t="inlineStr">
        <is>
          <t>Partial</t>
        </is>
      </c>
    </row>
    <row r="70" ht="15" customHeight="1">
      <c r="A70" s="24" t="inlineStr">
        <is>
          <t>C006</t>
        </is>
      </c>
      <c r="B70" s="24" t="inlineStr">
        <is>
          <t>Beacon Education</t>
        </is>
      </c>
      <c r="C70" s="50" t="n">
        <v>45444</v>
      </c>
      <c r="D70" s="51" t="n">
        <v>50</v>
      </c>
      <c r="E70" s="51" t="n">
        <v>28</v>
      </c>
      <c r="F70" s="52">
        <f>IFERROR(E70/D70,0)</f>
        <v/>
      </c>
      <c r="G70" s="35" t="n">
        <v>28</v>
      </c>
      <c r="H70" s="35" t="n">
        <v>45</v>
      </c>
      <c r="I70" s="52">
        <f>IFERROR(G70/H70,0)</f>
        <v/>
      </c>
      <c r="J70" s="29" t="n">
        <v>7.9</v>
      </c>
      <c r="K70" s="29" t="n">
        <v>42.8</v>
      </c>
      <c r="L70" s="51" t="n">
        <v>43713</v>
      </c>
      <c r="M70" s="35" t="n"/>
      <c r="N70" s="24" t="inlineStr">
        <is>
          <t>Partial</t>
        </is>
      </c>
    </row>
    <row r="71" ht="15" customHeight="1">
      <c r="A71" s="20" t="inlineStr">
        <is>
          <t>C006</t>
        </is>
      </c>
      <c r="B71" s="20" t="inlineStr">
        <is>
          <t>Beacon Education</t>
        </is>
      </c>
      <c r="C71" s="47" t="n">
        <v>45474</v>
      </c>
      <c r="D71" s="48" t="n">
        <v>50</v>
      </c>
      <c r="E71" s="48" t="n">
        <v>29</v>
      </c>
      <c r="F71" s="49">
        <f>IFERROR(E71/D71,0)</f>
        <v/>
      </c>
      <c r="G71" s="34" t="n">
        <v>30</v>
      </c>
      <c r="H71" s="34" t="n">
        <v>45</v>
      </c>
      <c r="I71" s="49">
        <f>IFERROR(G71/H71,0)</f>
        <v/>
      </c>
      <c r="J71" s="28" t="n">
        <v>8.1</v>
      </c>
      <c r="K71" s="28" t="n">
        <v>34.1</v>
      </c>
      <c r="L71" s="48" t="n">
        <v>42285</v>
      </c>
      <c r="M71" s="34" t="n"/>
      <c r="N71" s="20" t="inlineStr">
        <is>
          <t>Partial</t>
        </is>
      </c>
    </row>
    <row r="72" ht="15" customHeight="1">
      <c r="A72" s="24" t="inlineStr">
        <is>
          <t>C006</t>
        </is>
      </c>
      <c r="B72" s="24" t="inlineStr">
        <is>
          <t>Beacon Education</t>
        </is>
      </c>
      <c r="C72" s="50" t="n">
        <v>45505</v>
      </c>
      <c r="D72" s="51" t="n">
        <v>50</v>
      </c>
      <c r="E72" s="51" t="n">
        <v>33</v>
      </c>
      <c r="F72" s="52">
        <f>IFERROR(E72/D72,0)</f>
        <v/>
      </c>
      <c r="G72" s="35" t="n">
        <v>30</v>
      </c>
      <c r="H72" s="35" t="n">
        <v>45</v>
      </c>
      <c r="I72" s="52">
        <f>IFERROR(G72/H72,0)</f>
        <v/>
      </c>
      <c r="J72" s="29" t="n">
        <v>7.2</v>
      </c>
      <c r="K72" s="29" t="n">
        <v>7.1</v>
      </c>
      <c r="L72" s="51" t="n">
        <v>30576</v>
      </c>
      <c r="M72" s="35" t="n"/>
      <c r="N72" s="24" t="inlineStr">
        <is>
          <t>Partial</t>
        </is>
      </c>
    </row>
    <row r="73" ht="15" customHeight="1">
      <c r="A73" s="20" t="inlineStr">
        <is>
          <t>C006</t>
        </is>
      </c>
      <c r="B73" s="20" t="inlineStr">
        <is>
          <t>Beacon Education</t>
        </is>
      </c>
      <c r="C73" s="47" t="n">
        <v>45536</v>
      </c>
      <c r="D73" s="48" t="n">
        <v>50</v>
      </c>
      <c r="E73" s="48" t="n">
        <v>29</v>
      </c>
      <c r="F73" s="49">
        <f>IFERROR(E73/D73,0)</f>
        <v/>
      </c>
      <c r="G73" s="34" t="n">
        <v>29</v>
      </c>
      <c r="H73" s="34" t="n">
        <v>45</v>
      </c>
      <c r="I73" s="49">
        <f>IFERROR(G73/H73,0)</f>
        <v/>
      </c>
      <c r="J73" s="28" t="n">
        <v>8.1</v>
      </c>
      <c r="K73" s="28" t="n">
        <v>41.6</v>
      </c>
      <c r="L73" s="48" t="n">
        <v>134709</v>
      </c>
      <c r="M73" s="34" t="n"/>
      <c r="N73" s="20" t="inlineStr">
        <is>
          <t>Partial</t>
        </is>
      </c>
    </row>
    <row r="74" ht="15" customHeight="1">
      <c r="A74" s="24" t="inlineStr">
        <is>
          <t>C006</t>
        </is>
      </c>
      <c r="B74" s="24" t="inlineStr">
        <is>
          <t>Beacon Education</t>
        </is>
      </c>
      <c r="C74" s="50" t="n">
        <v>45566</v>
      </c>
      <c r="D74" s="51" t="n">
        <v>50</v>
      </c>
      <c r="E74" s="51" t="n">
        <v>32</v>
      </c>
      <c r="F74" s="52">
        <f>IFERROR(E74/D74,0)</f>
        <v/>
      </c>
      <c r="G74" s="35" t="n">
        <v>30</v>
      </c>
      <c r="H74" s="35" t="n">
        <v>45</v>
      </c>
      <c r="I74" s="52">
        <f>IFERROR(G74/H74,0)</f>
        <v/>
      </c>
      <c r="J74" s="29" t="n">
        <v>8</v>
      </c>
      <c r="K74" s="29" t="n">
        <v>22.8</v>
      </c>
      <c r="L74" s="51" t="n">
        <v>38955</v>
      </c>
      <c r="M74" s="35" t="n"/>
      <c r="N74" s="24" t="inlineStr">
        <is>
          <t>Partial</t>
        </is>
      </c>
    </row>
    <row r="75" ht="15" customHeight="1">
      <c r="A75" s="20" t="inlineStr">
        <is>
          <t>C006</t>
        </is>
      </c>
      <c r="B75" s="20" t="inlineStr">
        <is>
          <t>Beacon Education</t>
        </is>
      </c>
      <c r="C75" s="47" t="n">
        <v>45597</v>
      </c>
      <c r="D75" s="48" t="n">
        <v>50</v>
      </c>
      <c r="E75" s="48" t="n">
        <v>30</v>
      </c>
      <c r="F75" s="49">
        <f>IFERROR(E75/D75,0)</f>
        <v/>
      </c>
      <c r="G75" s="34" t="n">
        <v>31</v>
      </c>
      <c r="H75" s="34" t="n">
        <v>45</v>
      </c>
      <c r="I75" s="49">
        <f>IFERROR(G75/H75,0)</f>
        <v/>
      </c>
      <c r="J75" s="28" t="n">
        <v>7.8</v>
      </c>
      <c r="K75" s="28" t="n">
        <v>49.5</v>
      </c>
      <c r="L75" s="48" t="n">
        <v>27348</v>
      </c>
      <c r="M75" s="34" t="n"/>
      <c r="N75" s="20" t="inlineStr">
        <is>
          <t>Partial</t>
        </is>
      </c>
    </row>
    <row r="76" ht="15" customHeight="1">
      <c r="A76" s="24" t="inlineStr">
        <is>
          <t>C006</t>
        </is>
      </c>
      <c r="B76" s="24" t="inlineStr">
        <is>
          <t>Beacon Education</t>
        </is>
      </c>
      <c r="C76" s="50" t="n">
        <v>45627</v>
      </c>
      <c r="D76" s="51" t="n">
        <v>50</v>
      </c>
      <c r="E76" s="51" t="n">
        <v>30</v>
      </c>
      <c r="F76" s="52">
        <f>IFERROR(E76/D76,0)</f>
        <v/>
      </c>
      <c r="G76" s="35" t="n">
        <v>31</v>
      </c>
      <c r="H76" s="35" t="n">
        <v>45</v>
      </c>
      <c r="I76" s="52">
        <f>IFERROR(G76/H76,0)</f>
        <v/>
      </c>
      <c r="J76" s="29" t="n">
        <v>7.7</v>
      </c>
      <c r="K76" s="29" t="n">
        <v>8.9</v>
      </c>
      <c r="L76" s="51" t="n">
        <v>116325</v>
      </c>
      <c r="M76" s="35" t="n"/>
      <c r="N76" s="24" t="inlineStr">
        <is>
          <t>Partial</t>
        </is>
      </c>
    </row>
    <row r="77" ht="15" customHeight="1">
      <c r="A77" s="20" t="inlineStr">
        <is>
          <t>C007</t>
        </is>
      </c>
      <c r="B77" s="20" t="inlineStr">
        <is>
          <t>Forge Industries</t>
        </is>
      </c>
      <c r="C77" s="47" t="n">
        <v>45292</v>
      </c>
      <c r="D77" s="48" t="n">
        <v>250</v>
      </c>
      <c r="E77" s="48" t="n">
        <v>217</v>
      </c>
      <c r="F77" s="49">
        <f>IFERROR(E77/D77,0)</f>
        <v/>
      </c>
      <c r="G77" s="34" t="n">
        <v>38</v>
      </c>
      <c r="H77" s="34" t="n">
        <v>45</v>
      </c>
      <c r="I77" s="49">
        <f>IFERROR(G77/H77,0)</f>
        <v/>
      </c>
      <c r="J77" s="28" t="n">
        <v>11.9</v>
      </c>
      <c r="K77" s="28" t="n">
        <v>32.7</v>
      </c>
      <c r="L77" s="48" t="n">
        <v>62295</v>
      </c>
      <c r="M77" s="34" t="n">
        <v>32</v>
      </c>
      <c r="N77" s="20" t="inlineStr">
        <is>
          <t>Yes</t>
        </is>
      </c>
    </row>
    <row r="78" ht="15" customHeight="1">
      <c r="A78" s="24" t="inlineStr">
        <is>
          <t>C007</t>
        </is>
      </c>
      <c r="B78" s="24" t="inlineStr">
        <is>
          <t>Forge Industries</t>
        </is>
      </c>
      <c r="C78" s="50" t="n">
        <v>45323</v>
      </c>
      <c r="D78" s="51" t="n">
        <v>250</v>
      </c>
      <c r="E78" s="51" t="n">
        <v>216</v>
      </c>
      <c r="F78" s="52">
        <f>IFERROR(E78/D78,0)</f>
        <v/>
      </c>
      <c r="G78" s="35" t="n">
        <v>37</v>
      </c>
      <c r="H78" s="35" t="n">
        <v>45</v>
      </c>
      <c r="I78" s="52">
        <f>IFERROR(G78/H78,0)</f>
        <v/>
      </c>
      <c r="J78" s="29" t="n">
        <v>12.4</v>
      </c>
      <c r="K78" s="29" t="n">
        <v>9.300000000000001</v>
      </c>
      <c r="L78" s="51" t="n">
        <v>85896</v>
      </c>
      <c r="M78" s="35" t="n"/>
      <c r="N78" s="24" t="inlineStr">
        <is>
          <t>Yes</t>
        </is>
      </c>
    </row>
    <row r="79" ht="15" customHeight="1">
      <c r="A79" s="20" t="inlineStr">
        <is>
          <t>C007</t>
        </is>
      </c>
      <c r="B79" s="20" t="inlineStr">
        <is>
          <t>Forge Industries</t>
        </is>
      </c>
      <c r="C79" s="47" t="n">
        <v>45352</v>
      </c>
      <c r="D79" s="48" t="n">
        <v>250</v>
      </c>
      <c r="E79" s="48" t="n">
        <v>206</v>
      </c>
      <c r="F79" s="49">
        <f>IFERROR(E79/D79,0)</f>
        <v/>
      </c>
      <c r="G79" s="34" t="n">
        <v>39</v>
      </c>
      <c r="H79" s="34" t="n">
        <v>45</v>
      </c>
      <c r="I79" s="49">
        <f>IFERROR(G79/H79,0)</f>
        <v/>
      </c>
      <c r="J79" s="28" t="n">
        <v>12.3</v>
      </c>
      <c r="K79" s="28" t="n">
        <v>44.4</v>
      </c>
      <c r="L79" s="48" t="n">
        <v>114801</v>
      </c>
      <c r="M79" s="34" t="n"/>
      <c r="N79" s="20" t="inlineStr">
        <is>
          <t>Yes</t>
        </is>
      </c>
    </row>
    <row r="80" ht="15" customHeight="1">
      <c r="A80" s="24" t="inlineStr">
        <is>
          <t>C007</t>
        </is>
      </c>
      <c r="B80" s="24" t="inlineStr">
        <is>
          <t>Forge Industries</t>
        </is>
      </c>
      <c r="C80" s="50" t="n">
        <v>45383</v>
      </c>
      <c r="D80" s="51" t="n">
        <v>250</v>
      </c>
      <c r="E80" s="51" t="n">
        <v>221</v>
      </c>
      <c r="F80" s="52">
        <f>IFERROR(E80/D80,0)</f>
        <v/>
      </c>
      <c r="G80" s="35" t="n">
        <v>39</v>
      </c>
      <c r="H80" s="35" t="n">
        <v>45</v>
      </c>
      <c r="I80" s="52">
        <f>IFERROR(G80/H80,0)</f>
        <v/>
      </c>
      <c r="J80" s="29" t="n">
        <v>13</v>
      </c>
      <c r="K80" s="29" t="n">
        <v>8</v>
      </c>
      <c r="L80" s="51" t="n">
        <v>91062</v>
      </c>
      <c r="M80" s="35" t="n"/>
      <c r="N80" s="24" t="inlineStr">
        <is>
          <t>Yes</t>
        </is>
      </c>
    </row>
    <row r="81" ht="15" customHeight="1">
      <c r="A81" s="20" t="inlineStr">
        <is>
          <t>C007</t>
        </is>
      </c>
      <c r="B81" s="20" t="inlineStr">
        <is>
          <t>Forge Industries</t>
        </is>
      </c>
      <c r="C81" s="47" t="n">
        <v>45413</v>
      </c>
      <c r="D81" s="48" t="n">
        <v>250</v>
      </c>
      <c r="E81" s="48" t="n">
        <v>234</v>
      </c>
      <c r="F81" s="49">
        <f>IFERROR(E81/D81,0)</f>
        <v/>
      </c>
      <c r="G81" s="34" t="n">
        <v>39</v>
      </c>
      <c r="H81" s="34" t="n">
        <v>45</v>
      </c>
      <c r="I81" s="49">
        <f>IFERROR(G81/H81,0)</f>
        <v/>
      </c>
      <c r="J81" s="28" t="n">
        <v>12.9</v>
      </c>
      <c r="K81" s="28" t="n">
        <v>25.3</v>
      </c>
      <c r="L81" s="48" t="n">
        <v>28281</v>
      </c>
      <c r="M81" s="34" t="n"/>
      <c r="N81" s="20" t="inlineStr">
        <is>
          <t>Yes</t>
        </is>
      </c>
    </row>
    <row r="82" ht="15" customHeight="1">
      <c r="A82" s="24" t="inlineStr">
        <is>
          <t>C007</t>
        </is>
      </c>
      <c r="B82" s="24" t="inlineStr">
        <is>
          <t>Forge Industries</t>
        </is>
      </c>
      <c r="C82" s="50" t="n">
        <v>45444</v>
      </c>
      <c r="D82" s="51" t="n">
        <v>250</v>
      </c>
      <c r="E82" s="51" t="n">
        <v>221</v>
      </c>
      <c r="F82" s="52">
        <f>IFERROR(E82/D82,0)</f>
        <v/>
      </c>
      <c r="G82" s="35" t="n">
        <v>40</v>
      </c>
      <c r="H82" s="35" t="n">
        <v>45</v>
      </c>
      <c r="I82" s="52">
        <f>IFERROR(G82/H82,0)</f>
        <v/>
      </c>
      <c r="J82" s="29" t="n">
        <v>12.8</v>
      </c>
      <c r="K82" s="29" t="n">
        <v>12.1</v>
      </c>
      <c r="L82" s="51" t="n">
        <v>129405</v>
      </c>
      <c r="M82" s="35" t="n"/>
      <c r="N82" s="24" t="inlineStr">
        <is>
          <t>Yes</t>
        </is>
      </c>
    </row>
    <row r="83" ht="15" customHeight="1">
      <c r="A83" s="20" t="inlineStr">
        <is>
          <t>C007</t>
        </is>
      </c>
      <c r="B83" s="20" t="inlineStr">
        <is>
          <t>Forge Industries</t>
        </is>
      </c>
      <c r="C83" s="47" t="n">
        <v>45474</v>
      </c>
      <c r="D83" s="48" t="n">
        <v>250</v>
      </c>
      <c r="E83" s="48" t="n">
        <v>233</v>
      </c>
      <c r="F83" s="49">
        <f>IFERROR(E83/D83,0)</f>
        <v/>
      </c>
      <c r="G83" s="34" t="n">
        <v>40</v>
      </c>
      <c r="H83" s="34" t="n">
        <v>45</v>
      </c>
      <c r="I83" s="49">
        <f>IFERROR(G83/H83,0)</f>
        <v/>
      </c>
      <c r="J83" s="28" t="n">
        <v>11.9</v>
      </c>
      <c r="K83" s="28" t="n">
        <v>27.1</v>
      </c>
      <c r="L83" s="48" t="n">
        <v>81561</v>
      </c>
      <c r="M83" s="34" t="n"/>
      <c r="N83" s="20" t="inlineStr">
        <is>
          <t>Yes</t>
        </is>
      </c>
    </row>
    <row r="84" ht="15" customHeight="1">
      <c r="A84" s="24" t="inlineStr">
        <is>
          <t>C007</t>
        </is>
      </c>
      <c r="B84" s="24" t="inlineStr">
        <is>
          <t>Forge Industries</t>
        </is>
      </c>
      <c r="C84" s="50" t="n">
        <v>45505</v>
      </c>
      <c r="D84" s="51" t="n">
        <v>250</v>
      </c>
      <c r="E84" s="51" t="n">
        <v>237</v>
      </c>
      <c r="F84" s="52">
        <f>IFERROR(E84/D84,0)</f>
        <v/>
      </c>
      <c r="G84" s="35" t="n">
        <v>39</v>
      </c>
      <c r="H84" s="35" t="n">
        <v>45</v>
      </c>
      <c r="I84" s="52">
        <f>IFERROR(G84/H84,0)</f>
        <v/>
      </c>
      <c r="J84" s="29" t="n">
        <v>13.4</v>
      </c>
      <c r="K84" s="29" t="n">
        <v>48.3</v>
      </c>
      <c r="L84" s="51" t="n">
        <v>109083</v>
      </c>
      <c r="M84" s="35" t="n"/>
      <c r="N84" s="24" t="inlineStr">
        <is>
          <t>Yes</t>
        </is>
      </c>
    </row>
    <row r="85" ht="15" customHeight="1">
      <c r="A85" s="20" t="inlineStr">
        <is>
          <t>C007</t>
        </is>
      </c>
      <c r="B85" s="20" t="inlineStr">
        <is>
          <t>Forge Industries</t>
        </is>
      </c>
      <c r="C85" s="47" t="n">
        <v>45536</v>
      </c>
      <c r="D85" s="48" t="n">
        <v>250</v>
      </c>
      <c r="E85" s="48" t="n">
        <v>235</v>
      </c>
      <c r="F85" s="49">
        <f>IFERROR(E85/D85,0)</f>
        <v/>
      </c>
      <c r="G85" s="34" t="n">
        <v>39</v>
      </c>
      <c r="H85" s="34" t="n">
        <v>45</v>
      </c>
      <c r="I85" s="49">
        <f>IFERROR(G85/H85,0)</f>
        <v/>
      </c>
      <c r="J85" s="28" t="n">
        <v>11.9</v>
      </c>
      <c r="K85" s="28" t="n">
        <v>55.9</v>
      </c>
      <c r="L85" s="48" t="n">
        <v>104982</v>
      </c>
      <c r="M85" s="34" t="n"/>
      <c r="N85" s="20" t="inlineStr">
        <is>
          <t>Yes</t>
        </is>
      </c>
    </row>
    <row r="86" ht="15" customHeight="1">
      <c r="A86" s="24" t="inlineStr">
        <is>
          <t>C007</t>
        </is>
      </c>
      <c r="B86" s="24" t="inlineStr">
        <is>
          <t>Forge Industries</t>
        </is>
      </c>
      <c r="C86" s="50" t="n">
        <v>45566</v>
      </c>
      <c r="D86" s="51" t="n">
        <v>250</v>
      </c>
      <c r="E86" s="51" t="n">
        <v>223</v>
      </c>
      <c r="F86" s="52">
        <f>IFERROR(E86/D86,0)</f>
        <v/>
      </c>
      <c r="G86" s="35" t="n">
        <v>40</v>
      </c>
      <c r="H86" s="35" t="n">
        <v>45</v>
      </c>
      <c r="I86" s="52">
        <f>IFERROR(G86/H86,0)</f>
        <v/>
      </c>
      <c r="J86" s="29" t="n">
        <v>12</v>
      </c>
      <c r="K86" s="29" t="n">
        <v>20.3</v>
      </c>
      <c r="L86" s="51" t="n">
        <v>23238</v>
      </c>
      <c r="M86" s="35" t="n"/>
      <c r="N86" s="24" t="inlineStr">
        <is>
          <t>Yes</t>
        </is>
      </c>
    </row>
    <row r="87" ht="15" customHeight="1">
      <c r="A87" s="20" t="inlineStr">
        <is>
          <t>C007</t>
        </is>
      </c>
      <c r="B87" s="20" t="inlineStr">
        <is>
          <t>Forge Industries</t>
        </is>
      </c>
      <c r="C87" s="47" t="n">
        <v>45597</v>
      </c>
      <c r="D87" s="48" t="n">
        <v>250</v>
      </c>
      <c r="E87" s="48" t="n">
        <v>232</v>
      </c>
      <c r="F87" s="49">
        <f>IFERROR(E87/D87,0)</f>
        <v/>
      </c>
      <c r="G87" s="34" t="n">
        <v>41</v>
      </c>
      <c r="H87" s="34" t="n">
        <v>45</v>
      </c>
      <c r="I87" s="49">
        <f>IFERROR(G87/H87,0)</f>
        <v/>
      </c>
      <c r="J87" s="28" t="n">
        <v>13</v>
      </c>
      <c r="K87" s="28" t="n">
        <v>74.3</v>
      </c>
      <c r="L87" s="48" t="n">
        <v>121764</v>
      </c>
      <c r="M87" s="34" t="n"/>
      <c r="N87" s="20" t="inlineStr">
        <is>
          <t>Yes</t>
        </is>
      </c>
    </row>
    <row r="88" ht="15" customHeight="1">
      <c r="A88" s="24" t="inlineStr">
        <is>
          <t>C007</t>
        </is>
      </c>
      <c r="B88" s="24" t="inlineStr">
        <is>
          <t>Forge Industries</t>
        </is>
      </c>
      <c r="C88" s="50" t="n">
        <v>45627</v>
      </c>
      <c r="D88" s="51" t="n">
        <v>250</v>
      </c>
      <c r="E88" s="51" t="n">
        <v>239</v>
      </c>
      <c r="F88" s="52">
        <f>IFERROR(E88/D88,0)</f>
        <v/>
      </c>
      <c r="G88" s="35" t="n">
        <v>40</v>
      </c>
      <c r="H88" s="35" t="n">
        <v>45</v>
      </c>
      <c r="I88" s="52">
        <f>IFERROR(G88/H88,0)</f>
        <v/>
      </c>
      <c r="J88" s="29" t="n">
        <v>13.6</v>
      </c>
      <c r="K88" s="29" t="n">
        <v>21.1</v>
      </c>
      <c r="L88" s="51" t="n">
        <v>85182</v>
      </c>
      <c r="M88" s="35" t="n"/>
      <c r="N88" s="24" t="inlineStr">
        <is>
          <t>Yes</t>
        </is>
      </c>
    </row>
    <row r="89" ht="15" customHeight="1">
      <c r="A89" s="20" t="inlineStr">
        <is>
          <t>C008</t>
        </is>
      </c>
      <c r="B89" s="20" t="inlineStr">
        <is>
          <t>Crestline Media</t>
        </is>
      </c>
      <c r="C89" s="47" t="n">
        <v>45292</v>
      </c>
      <c r="D89" s="48" t="n">
        <v>50</v>
      </c>
      <c r="E89" s="48" t="n">
        <v>16</v>
      </c>
      <c r="F89" s="49">
        <f>IFERROR(E89/D89,0)</f>
        <v/>
      </c>
      <c r="G89" s="34" t="n">
        <v>18</v>
      </c>
      <c r="H89" s="34" t="n">
        <v>45</v>
      </c>
      <c r="I89" s="49">
        <f>IFERROR(G89/H89,0)</f>
        <v/>
      </c>
      <c r="J89" s="28" t="n">
        <v>2.9</v>
      </c>
      <c r="K89" s="28" t="n">
        <v>23</v>
      </c>
      <c r="L89" s="48" t="n">
        <v>33818</v>
      </c>
      <c r="M89" s="34" t="n">
        <v>101</v>
      </c>
      <c r="N89" s="20" t="inlineStr">
        <is>
          <t>No</t>
        </is>
      </c>
    </row>
    <row r="90" ht="15" customHeight="1">
      <c r="A90" s="24" t="inlineStr">
        <is>
          <t>C008</t>
        </is>
      </c>
      <c r="B90" s="24" t="inlineStr">
        <is>
          <t>Crestline Media</t>
        </is>
      </c>
      <c r="C90" s="50" t="n">
        <v>45323</v>
      </c>
      <c r="D90" s="51" t="n">
        <v>50</v>
      </c>
      <c r="E90" s="51" t="n">
        <v>19</v>
      </c>
      <c r="F90" s="52">
        <f>IFERROR(E90/D90,0)</f>
        <v/>
      </c>
      <c r="G90" s="35" t="n">
        <v>18</v>
      </c>
      <c r="H90" s="35" t="n">
        <v>45</v>
      </c>
      <c r="I90" s="52">
        <f>IFERROR(G90/H90,0)</f>
        <v/>
      </c>
      <c r="J90" s="29" t="n">
        <v>2.7</v>
      </c>
      <c r="K90" s="29" t="n">
        <v>14.1</v>
      </c>
      <c r="L90" s="51" t="n">
        <v>37605</v>
      </c>
      <c r="M90" s="35" t="n"/>
      <c r="N90" s="24" t="inlineStr">
        <is>
          <t>No</t>
        </is>
      </c>
    </row>
    <row r="91" ht="15" customHeight="1">
      <c r="A91" s="20" t="inlineStr">
        <is>
          <t>C008</t>
        </is>
      </c>
      <c r="B91" s="20" t="inlineStr">
        <is>
          <t>Crestline Media</t>
        </is>
      </c>
      <c r="C91" s="47" t="n">
        <v>45352</v>
      </c>
      <c r="D91" s="48" t="n">
        <v>50</v>
      </c>
      <c r="E91" s="48" t="n">
        <v>17</v>
      </c>
      <c r="F91" s="49">
        <f>IFERROR(E91/D91,0)</f>
        <v/>
      </c>
      <c r="G91" s="34" t="n">
        <v>19</v>
      </c>
      <c r="H91" s="34" t="n">
        <v>45</v>
      </c>
      <c r="I91" s="49">
        <f>IFERROR(G91/H91,0)</f>
        <v/>
      </c>
      <c r="J91" s="28" t="n">
        <v>2.6</v>
      </c>
      <c r="K91" s="28" t="n">
        <v>9.6</v>
      </c>
      <c r="L91" s="48" t="n">
        <v>32820</v>
      </c>
      <c r="M91" s="34" t="n"/>
      <c r="N91" s="20" t="inlineStr">
        <is>
          <t>No</t>
        </is>
      </c>
    </row>
    <row r="92" ht="15" customHeight="1">
      <c r="A92" s="24" t="inlineStr">
        <is>
          <t>C008</t>
        </is>
      </c>
      <c r="B92" s="24" t="inlineStr">
        <is>
          <t>Crestline Media</t>
        </is>
      </c>
      <c r="C92" s="50" t="n">
        <v>45383</v>
      </c>
      <c r="D92" s="51" t="n">
        <v>50</v>
      </c>
      <c r="E92" s="51" t="n">
        <v>16</v>
      </c>
      <c r="F92" s="52">
        <f>IFERROR(E92/D92,0)</f>
        <v/>
      </c>
      <c r="G92" s="35" t="n">
        <v>20</v>
      </c>
      <c r="H92" s="35" t="n">
        <v>45</v>
      </c>
      <c r="I92" s="52">
        <f>IFERROR(G92/H92,0)</f>
        <v/>
      </c>
      <c r="J92" s="29" t="n">
        <v>4.1</v>
      </c>
      <c r="K92" s="29" t="n">
        <v>15.1</v>
      </c>
      <c r="L92" s="51" t="n">
        <v>24252</v>
      </c>
      <c r="M92" s="35" t="n"/>
      <c r="N92" s="24" t="inlineStr">
        <is>
          <t>No</t>
        </is>
      </c>
    </row>
    <row r="93" ht="15" customHeight="1">
      <c r="A93" s="20" t="inlineStr">
        <is>
          <t>C008</t>
        </is>
      </c>
      <c r="B93" s="20" t="inlineStr">
        <is>
          <t>Crestline Media</t>
        </is>
      </c>
      <c r="C93" s="47" t="n">
        <v>45413</v>
      </c>
      <c r="D93" s="48" t="n">
        <v>50</v>
      </c>
      <c r="E93" s="48" t="n">
        <v>17</v>
      </c>
      <c r="F93" s="49">
        <f>IFERROR(E93/D93,0)</f>
        <v/>
      </c>
      <c r="G93" s="34" t="n">
        <v>18</v>
      </c>
      <c r="H93" s="34" t="n">
        <v>45</v>
      </c>
      <c r="I93" s="49">
        <f>IFERROR(G93/H93,0)</f>
        <v/>
      </c>
      <c r="J93" s="28" t="n">
        <v>2.9</v>
      </c>
      <c r="K93" s="28" t="n">
        <v>22</v>
      </c>
      <c r="L93" s="48" t="n">
        <v>34223</v>
      </c>
      <c r="M93" s="34" t="n"/>
      <c r="N93" s="20" t="inlineStr">
        <is>
          <t>No</t>
        </is>
      </c>
    </row>
    <row r="94" ht="15" customHeight="1">
      <c r="A94" s="24" t="inlineStr">
        <is>
          <t>C008</t>
        </is>
      </c>
      <c r="B94" s="24" t="inlineStr">
        <is>
          <t>Crestline Media</t>
        </is>
      </c>
      <c r="C94" s="50" t="n">
        <v>45444</v>
      </c>
      <c r="D94" s="51" t="n">
        <v>50</v>
      </c>
      <c r="E94" s="51" t="n">
        <v>19</v>
      </c>
      <c r="F94" s="52">
        <f>IFERROR(E94/D94,0)</f>
        <v/>
      </c>
      <c r="G94" s="35" t="n">
        <v>19</v>
      </c>
      <c r="H94" s="35" t="n">
        <v>45</v>
      </c>
      <c r="I94" s="52">
        <f>IFERROR(G94/H94,0)</f>
        <v/>
      </c>
      <c r="J94" s="29" t="n">
        <v>2.6</v>
      </c>
      <c r="K94" s="29" t="n">
        <v>31.2</v>
      </c>
      <c r="L94" s="51" t="n">
        <v>34303</v>
      </c>
      <c r="M94" s="35" t="n"/>
      <c r="N94" s="24" t="inlineStr">
        <is>
          <t>No</t>
        </is>
      </c>
    </row>
    <row r="95" ht="15" customHeight="1">
      <c r="A95" s="20" t="inlineStr">
        <is>
          <t>C008</t>
        </is>
      </c>
      <c r="B95" s="20" t="inlineStr">
        <is>
          <t>Crestline Media</t>
        </is>
      </c>
      <c r="C95" s="47" t="n">
        <v>45474</v>
      </c>
      <c r="D95" s="48" t="n">
        <v>50</v>
      </c>
      <c r="E95" s="48" t="n">
        <v>16</v>
      </c>
      <c r="F95" s="49">
        <f>IFERROR(E95/D95,0)</f>
        <v/>
      </c>
      <c r="G95" s="34" t="n">
        <v>20</v>
      </c>
      <c r="H95" s="34" t="n">
        <v>45</v>
      </c>
      <c r="I95" s="49">
        <f>IFERROR(G95/H95,0)</f>
        <v/>
      </c>
      <c r="J95" s="28" t="n">
        <v>3.5</v>
      </c>
      <c r="K95" s="28" t="n">
        <v>31.9</v>
      </c>
      <c r="L95" s="48" t="n">
        <v>46908</v>
      </c>
      <c r="M95" s="34" t="n"/>
      <c r="N95" s="20" t="inlineStr">
        <is>
          <t>No</t>
        </is>
      </c>
    </row>
    <row r="96" ht="15" customHeight="1">
      <c r="A96" s="24" t="inlineStr">
        <is>
          <t>C008</t>
        </is>
      </c>
      <c r="B96" s="24" t="inlineStr">
        <is>
          <t>Crestline Media</t>
        </is>
      </c>
      <c r="C96" s="50" t="n">
        <v>45505</v>
      </c>
      <c r="D96" s="51" t="n">
        <v>50</v>
      </c>
      <c r="E96" s="51" t="n">
        <v>21</v>
      </c>
      <c r="F96" s="52">
        <f>IFERROR(E96/D96,0)</f>
        <v/>
      </c>
      <c r="G96" s="35" t="n">
        <v>19</v>
      </c>
      <c r="H96" s="35" t="n">
        <v>45</v>
      </c>
      <c r="I96" s="52">
        <f>IFERROR(G96/H96,0)</f>
        <v/>
      </c>
      <c r="J96" s="29" t="n">
        <v>2.5</v>
      </c>
      <c r="K96" s="29" t="n">
        <v>45.5</v>
      </c>
      <c r="L96" s="51" t="n">
        <v>28809</v>
      </c>
      <c r="M96" s="35" t="n"/>
      <c r="N96" s="24" t="inlineStr">
        <is>
          <t>No</t>
        </is>
      </c>
    </row>
    <row r="97" ht="15" customHeight="1">
      <c r="A97" s="20" t="inlineStr">
        <is>
          <t>C008</t>
        </is>
      </c>
      <c r="B97" s="20" t="inlineStr">
        <is>
          <t>Crestline Media</t>
        </is>
      </c>
      <c r="C97" s="47" t="n">
        <v>45536</v>
      </c>
      <c r="D97" s="48" t="n">
        <v>50</v>
      </c>
      <c r="E97" s="48" t="n">
        <v>19</v>
      </c>
      <c r="F97" s="49">
        <f>IFERROR(E97/D97,0)</f>
        <v/>
      </c>
      <c r="G97" s="34" t="n">
        <v>21</v>
      </c>
      <c r="H97" s="34" t="n">
        <v>45</v>
      </c>
      <c r="I97" s="49">
        <f>IFERROR(G97/H97,0)</f>
        <v/>
      </c>
      <c r="J97" s="28" t="n">
        <v>3.8</v>
      </c>
      <c r="K97" s="28" t="n">
        <v>67</v>
      </c>
      <c r="L97" s="48" t="n">
        <v>14357</v>
      </c>
      <c r="M97" s="34" t="n"/>
      <c r="N97" s="20" t="inlineStr">
        <is>
          <t>No</t>
        </is>
      </c>
    </row>
    <row r="98" ht="15" customHeight="1">
      <c r="A98" s="24" t="inlineStr">
        <is>
          <t>C008</t>
        </is>
      </c>
      <c r="B98" s="24" t="inlineStr">
        <is>
          <t>Crestline Media</t>
        </is>
      </c>
      <c r="C98" s="50" t="n">
        <v>45566</v>
      </c>
      <c r="D98" s="51" t="n">
        <v>50</v>
      </c>
      <c r="E98" s="51" t="n">
        <v>21</v>
      </c>
      <c r="F98" s="52">
        <f>IFERROR(E98/D98,0)</f>
        <v/>
      </c>
      <c r="G98" s="35" t="n">
        <v>22</v>
      </c>
      <c r="H98" s="35" t="n">
        <v>45</v>
      </c>
      <c r="I98" s="52">
        <f>IFERROR(G98/H98,0)</f>
        <v/>
      </c>
      <c r="J98" s="29" t="n">
        <v>4</v>
      </c>
      <c r="K98" s="29" t="n">
        <v>9.5</v>
      </c>
      <c r="L98" s="51" t="n">
        <v>9406</v>
      </c>
      <c r="M98" s="35" t="n"/>
      <c r="N98" s="24" t="inlineStr">
        <is>
          <t>No</t>
        </is>
      </c>
    </row>
    <row r="99" ht="15" customHeight="1">
      <c r="A99" s="20" t="inlineStr">
        <is>
          <t>C008</t>
        </is>
      </c>
      <c r="B99" s="20" t="inlineStr">
        <is>
          <t>Crestline Media</t>
        </is>
      </c>
      <c r="C99" s="47" t="n">
        <v>45597</v>
      </c>
      <c r="D99" s="48" t="n">
        <v>50</v>
      </c>
      <c r="E99" s="48" t="n">
        <v>18</v>
      </c>
      <c r="F99" s="49">
        <f>IFERROR(E99/D99,0)</f>
        <v/>
      </c>
      <c r="G99" s="34" t="n">
        <v>22</v>
      </c>
      <c r="H99" s="34" t="n">
        <v>45</v>
      </c>
      <c r="I99" s="49">
        <f>IFERROR(G99/H99,0)</f>
        <v/>
      </c>
      <c r="J99" s="28" t="n">
        <v>3.2</v>
      </c>
      <c r="K99" s="28" t="n">
        <v>33.3</v>
      </c>
      <c r="L99" s="48" t="n">
        <v>42174</v>
      </c>
      <c r="M99" s="34" t="n"/>
      <c r="N99" s="20" t="inlineStr">
        <is>
          <t>No</t>
        </is>
      </c>
    </row>
    <row r="100" ht="15" customHeight="1">
      <c r="A100" s="24" t="inlineStr">
        <is>
          <t>C008</t>
        </is>
      </c>
      <c r="B100" s="24" t="inlineStr">
        <is>
          <t>Crestline Media</t>
        </is>
      </c>
      <c r="C100" s="50" t="n">
        <v>45627</v>
      </c>
      <c r="D100" s="51" t="n">
        <v>50</v>
      </c>
      <c r="E100" s="51" t="n">
        <v>17</v>
      </c>
      <c r="F100" s="52">
        <f>IFERROR(E100/D100,0)</f>
        <v/>
      </c>
      <c r="G100" s="35" t="n">
        <v>20</v>
      </c>
      <c r="H100" s="35" t="n">
        <v>45</v>
      </c>
      <c r="I100" s="52">
        <f>IFERROR(G100/H100,0)</f>
        <v/>
      </c>
      <c r="J100" s="29" t="n">
        <v>3.9</v>
      </c>
      <c r="K100" s="29" t="n">
        <v>73.90000000000001</v>
      </c>
      <c r="L100" s="51" t="n">
        <v>29380</v>
      </c>
      <c r="M100" s="35" t="n"/>
      <c r="N100" s="24" t="inlineStr">
        <is>
          <t>No</t>
        </is>
      </c>
    </row>
    <row r="101" ht="15" customHeight="1">
      <c r="A101" s="20" t="inlineStr">
        <is>
          <t>C009</t>
        </is>
      </c>
      <c r="B101" s="20" t="inlineStr">
        <is>
          <t>Summit Energy</t>
        </is>
      </c>
      <c r="C101" s="47" t="n">
        <v>45292</v>
      </c>
      <c r="D101" s="48" t="n">
        <v>200</v>
      </c>
      <c r="E101" s="48" t="n">
        <v>171</v>
      </c>
      <c r="F101" s="49">
        <f>IFERROR(E101/D101,0)</f>
        <v/>
      </c>
      <c r="G101" s="34" t="n">
        <v>39</v>
      </c>
      <c r="H101" s="34" t="n">
        <v>45</v>
      </c>
      <c r="I101" s="49">
        <f>IFERROR(G101/H101,0)</f>
        <v/>
      </c>
      <c r="J101" s="28" t="n">
        <v>11.7</v>
      </c>
      <c r="K101" s="28" t="n">
        <v>19.1</v>
      </c>
      <c r="L101" s="48" t="n">
        <v>69792</v>
      </c>
      <c r="M101" s="34" t="n">
        <v>27</v>
      </c>
      <c r="N101" s="20" t="inlineStr">
        <is>
          <t>Yes</t>
        </is>
      </c>
    </row>
    <row r="102" ht="15" customHeight="1">
      <c r="A102" s="24" t="inlineStr">
        <is>
          <t>C009</t>
        </is>
      </c>
      <c r="B102" s="24" t="inlineStr">
        <is>
          <t>Summit Energy</t>
        </is>
      </c>
      <c r="C102" s="50" t="n">
        <v>45323</v>
      </c>
      <c r="D102" s="51" t="n">
        <v>200</v>
      </c>
      <c r="E102" s="51" t="n">
        <v>166</v>
      </c>
      <c r="F102" s="52">
        <f>IFERROR(E102/D102,0)</f>
        <v/>
      </c>
      <c r="G102" s="35" t="n">
        <v>37</v>
      </c>
      <c r="H102" s="35" t="n">
        <v>45</v>
      </c>
      <c r="I102" s="52">
        <f>IFERROR(G102/H102,0)</f>
        <v/>
      </c>
      <c r="J102" s="29" t="n">
        <v>11.2</v>
      </c>
      <c r="K102" s="29" t="n">
        <v>14</v>
      </c>
      <c r="L102" s="51" t="n">
        <v>116790</v>
      </c>
      <c r="M102" s="35" t="n"/>
      <c r="N102" s="24" t="inlineStr">
        <is>
          <t>Yes</t>
        </is>
      </c>
    </row>
    <row r="103" ht="15" customHeight="1">
      <c r="A103" s="20" t="inlineStr">
        <is>
          <t>C009</t>
        </is>
      </c>
      <c r="B103" s="20" t="inlineStr">
        <is>
          <t>Summit Energy</t>
        </is>
      </c>
      <c r="C103" s="47" t="n">
        <v>45352</v>
      </c>
      <c r="D103" s="48" t="n">
        <v>200</v>
      </c>
      <c r="E103" s="48" t="n">
        <v>171</v>
      </c>
      <c r="F103" s="49">
        <f>IFERROR(E103/D103,0)</f>
        <v/>
      </c>
      <c r="G103" s="34" t="n">
        <v>39</v>
      </c>
      <c r="H103" s="34" t="n">
        <v>45</v>
      </c>
      <c r="I103" s="49">
        <f>IFERROR(G103/H103,0)</f>
        <v/>
      </c>
      <c r="J103" s="28" t="n">
        <v>11.4</v>
      </c>
      <c r="K103" s="28" t="n">
        <v>43.9</v>
      </c>
      <c r="L103" s="48" t="n">
        <v>102738</v>
      </c>
      <c r="M103" s="34" t="n"/>
      <c r="N103" s="20" t="inlineStr">
        <is>
          <t>Yes</t>
        </is>
      </c>
    </row>
    <row r="104" ht="15" customHeight="1">
      <c r="A104" s="24" t="inlineStr">
        <is>
          <t>C009</t>
        </is>
      </c>
      <c r="B104" s="24" t="inlineStr">
        <is>
          <t>Summit Energy</t>
        </is>
      </c>
      <c r="C104" s="50" t="n">
        <v>45383</v>
      </c>
      <c r="D104" s="51" t="n">
        <v>200</v>
      </c>
      <c r="E104" s="51" t="n">
        <v>170</v>
      </c>
      <c r="F104" s="52">
        <f>IFERROR(E104/D104,0)</f>
        <v/>
      </c>
      <c r="G104" s="35" t="n">
        <v>40</v>
      </c>
      <c r="H104" s="35" t="n">
        <v>45</v>
      </c>
      <c r="I104" s="52">
        <f>IFERROR(G104/H104,0)</f>
        <v/>
      </c>
      <c r="J104" s="29" t="n">
        <v>11.9</v>
      </c>
      <c r="K104" s="29" t="n">
        <v>53.2</v>
      </c>
      <c r="L104" s="51" t="n">
        <v>111573</v>
      </c>
      <c r="M104" s="35" t="n"/>
      <c r="N104" s="24" t="inlineStr">
        <is>
          <t>Yes</t>
        </is>
      </c>
    </row>
    <row r="105" ht="15" customHeight="1">
      <c r="A105" s="20" t="inlineStr">
        <is>
          <t>C009</t>
        </is>
      </c>
      <c r="B105" s="20" t="inlineStr">
        <is>
          <t>Summit Energy</t>
        </is>
      </c>
      <c r="C105" s="47" t="n">
        <v>45413</v>
      </c>
      <c r="D105" s="48" t="n">
        <v>200</v>
      </c>
      <c r="E105" s="48" t="n">
        <v>172</v>
      </c>
      <c r="F105" s="49">
        <f>IFERROR(E105/D105,0)</f>
        <v/>
      </c>
      <c r="G105" s="34" t="n">
        <v>38</v>
      </c>
      <c r="H105" s="34" t="n">
        <v>45</v>
      </c>
      <c r="I105" s="49">
        <f>IFERROR(G105/H105,0)</f>
        <v/>
      </c>
      <c r="J105" s="28" t="n">
        <v>13.1</v>
      </c>
      <c r="K105" s="28" t="n">
        <v>30.4</v>
      </c>
      <c r="L105" s="48" t="n">
        <v>102510</v>
      </c>
      <c r="M105" s="34" t="n"/>
      <c r="N105" s="20" t="inlineStr">
        <is>
          <t>Yes</t>
        </is>
      </c>
    </row>
    <row r="106" ht="15" customHeight="1">
      <c r="A106" s="24" t="inlineStr">
        <is>
          <t>C009</t>
        </is>
      </c>
      <c r="B106" s="24" t="inlineStr">
        <is>
          <t>Summit Energy</t>
        </is>
      </c>
      <c r="C106" s="50" t="n">
        <v>45444</v>
      </c>
      <c r="D106" s="51" t="n">
        <v>200</v>
      </c>
      <c r="E106" s="51" t="n">
        <v>189</v>
      </c>
      <c r="F106" s="52">
        <f>IFERROR(E106/D106,0)</f>
        <v/>
      </c>
      <c r="G106" s="35" t="n">
        <v>40</v>
      </c>
      <c r="H106" s="35" t="n">
        <v>45</v>
      </c>
      <c r="I106" s="52">
        <f>IFERROR(G106/H106,0)</f>
        <v/>
      </c>
      <c r="J106" s="29" t="n">
        <v>13.4</v>
      </c>
      <c r="K106" s="29" t="n">
        <v>61.7</v>
      </c>
      <c r="L106" s="51" t="n">
        <v>146301</v>
      </c>
      <c r="M106" s="35" t="n"/>
      <c r="N106" s="24" t="inlineStr">
        <is>
          <t>Yes</t>
        </is>
      </c>
    </row>
    <row r="107" ht="15" customHeight="1">
      <c r="A107" s="20" t="inlineStr">
        <is>
          <t>C009</t>
        </is>
      </c>
      <c r="B107" s="20" t="inlineStr">
        <is>
          <t>Summit Energy</t>
        </is>
      </c>
      <c r="C107" s="47" t="n">
        <v>45474</v>
      </c>
      <c r="D107" s="48" t="n">
        <v>200</v>
      </c>
      <c r="E107" s="48" t="n">
        <v>178</v>
      </c>
      <c r="F107" s="49">
        <f>IFERROR(E107/D107,0)</f>
        <v/>
      </c>
      <c r="G107" s="34" t="n">
        <v>39</v>
      </c>
      <c r="H107" s="34" t="n">
        <v>45</v>
      </c>
      <c r="I107" s="49">
        <f>IFERROR(G107/H107,0)</f>
        <v/>
      </c>
      <c r="J107" s="28" t="n">
        <v>12.7</v>
      </c>
      <c r="K107" s="28" t="n">
        <v>23.5</v>
      </c>
      <c r="L107" s="48" t="n">
        <v>73971</v>
      </c>
      <c r="M107" s="34" t="n"/>
      <c r="N107" s="20" t="inlineStr">
        <is>
          <t>Yes</t>
        </is>
      </c>
    </row>
    <row r="108" ht="15" customHeight="1">
      <c r="A108" s="24" t="inlineStr">
        <is>
          <t>C009</t>
        </is>
      </c>
      <c r="B108" s="24" t="inlineStr">
        <is>
          <t>Summit Energy</t>
        </is>
      </c>
      <c r="C108" s="50" t="n">
        <v>45505</v>
      </c>
      <c r="D108" s="51" t="n">
        <v>200</v>
      </c>
      <c r="E108" s="51" t="n">
        <v>191</v>
      </c>
      <c r="F108" s="52">
        <f>IFERROR(E108/D108,0)</f>
        <v/>
      </c>
      <c r="G108" s="35" t="n">
        <v>41</v>
      </c>
      <c r="H108" s="35" t="n">
        <v>45</v>
      </c>
      <c r="I108" s="52">
        <f>IFERROR(G108/H108,0)</f>
        <v/>
      </c>
      <c r="J108" s="29" t="n">
        <v>13.1</v>
      </c>
      <c r="K108" s="29" t="n">
        <v>49.3</v>
      </c>
      <c r="L108" s="51" t="n">
        <v>49227</v>
      </c>
      <c r="M108" s="35" t="n"/>
      <c r="N108" s="24" t="inlineStr">
        <is>
          <t>Yes</t>
        </is>
      </c>
    </row>
    <row r="109" ht="15" customHeight="1">
      <c r="A109" s="20" t="inlineStr">
        <is>
          <t>C009</t>
        </is>
      </c>
      <c r="B109" s="20" t="inlineStr">
        <is>
          <t>Summit Energy</t>
        </is>
      </c>
      <c r="C109" s="47" t="n">
        <v>45536</v>
      </c>
      <c r="D109" s="48" t="n">
        <v>200</v>
      </c>
      <c r="E109" s="48" t="n">
        <v>191</v>
      </c>
      <c r="F109" s="49">
        <f>IFERROR(E109/D109,0)</f>
        <v/>
      </c>
      <c r="G109" s="34" t="n">
        <v>41</v>
      </c>
      <c r="H109" s="34" t="n">
        <v>45</v>
      </c>
      <c r="I109" s="49">
        <f>IFERROR(G109/H109,0)</f>
        <v/>
      </c>
      <c r="J109" s="28" t="n">
        <v>12.2</v>
      </c>
      <c r="K109" s="28" t="n">
        <v>69.09999999999999</v>
      </c>
      <c r="L109" s="48" t="n">
        <v>42303</v>
      </c>
      <c r="M109" s="34" t="n"/>
      <c r="N109" s="20" t="inlineStr">
        <is>
          <t>Yes</t>
        </is>
      </c>
    </row>
    <row r="110" ht="15" customHeight="1">
      <c r="A110" s="24" t="inlineStr">
        <is>
          <t>C009</t>
        </is>
      </c>
      <c r="B110" s="24" t="inlineStr">
        <is>
          <t>Summit Energy</t>
        </is>
      </c>
      <c r="C110" s="50" t="n">
        <v>45566</v>
      </c>
      <c r="D110" s="51" t="n">
        <v>200</v>
      </c>
      <c r="E110" s="51" t="n">
        <v>182</v>
      </c>
      <c r="F110" s="52">
        <f>IFERROR(E110/D110,0)</f>
        <v/>
      </c>
      <c r="G110" s="35" t="n">
        <v>41</v>
      </c>
      <c r="H110" s="35" t="n">
        <v>45</v>
      </c>
      <c r="I110" s="52">
        <f>IFERROR(G110/H110,0)</f>
        <v/>
      </c>
      <c r="J110" s="29" t="n">
        <v>12</v>
      </c>
      <c r="K110" s="29" t="n">
        <v>43.4</v>
      </c>
      <c r="L110" s="51" t="n">
        <v>87528</v>
      </c>
      <c r="M110" s="35" t="n"/>
      <c r="N110" s="24" t="inlineStr">
        <is>
          <t>Yes</t>
        </is>
      </c>
    </row>
    <row r="111" ht="15" customHeight="1">
      <c r="A111" s="20" t="inlineStr">
        <is>
          <t>C009</t>
        </is>
      </c>
      <c r="B111" s="20" t="inlineStr">
        <is>
          <t>Summit Energy</t>
        </is>
      </c>
      <c r="C111" s="47" t="n">
        <v>45597</v>
      </c>
      <c r="D111" s="48" t="n">
        <v>200</v>
      </c>
      <c r="E111" s="48" t="n">
        <v>189</v>
      </c>
      <c r="F111" s="49">
        <f>IFERROR(E111/D111,0)</f>
        <v/>
      </c>
      <c r="G111" s="34" t="n">
        <v>42</v>
      </c>
      <c r="H111" s="34" t="n">
        <v>45</v>
      </c>
      <c r="I111" s="49">
        <f>IFERROR(G111/H111,0)</f>
        <v/>
      </c>
      <c r="J111" s="28" t="n">
        <v>12.3</v>
      </c>
      <c r="K111" s="28" t="n">
        <v>67.2</v>
      </c>
      <c r="L111" s="48" t="n">
        <v>27924</v>
      </c>
      <c r="M111" s="34" t="n"/>
      <c r="N111" s="20" t="inlineStr">
        <is>
          <t>Yes</t>
        </is>
      </c>
    </row>
    <row r="112" ht="15" customHeight="1">
      <c r="A112" s="24" t="inlineStr">
        <is>
          <t>C009</t>
        </is>
      </c>
      <c r="B112" s="24" t="inlineStr">
        <is>
          <t>Summit Energy</t>
        </is>
      </c>
      <c r="C112" s="50" t="n">
        <v>45627</v>
      </c>
      <c r="D112" s="51" t="n">
        <v>200</v>
      </c>
      <c r="E112" s="51" t="n">
        <v>188</v>
      </c>
      <c r="F112" s="52">
        <f>IFERROR(E112/D112,0)</f>
        <v/>
      </c>
      <c r="G112" s="35" t="n">
        <v>42</v>
      </c>
      <c r="H112" s="35" t="n">
        <v>45</v>
      </c>
      <c r="I112" s="52">
        <f>IFERROR(G112/H112,0)</f>
        <v/>
      </c>
      <c r="J112" s="29" t="n">
        <v>13.5</v>
      </c>
      <c r="K112" s="29" t="n">
        <v>44.4</v>
      </c>
      <c r="L112" s="51" t="n">
        <v>95496</v>
      </c>
      <c r="M112" s="35" t="n"/>
      <c r="N112" s="24" t="inlineStr">
        <is>
          <t>Yes</t>
        </is>
      </c>
    </row>
    <row r="113" ht="15" customHeight="1">
      <c r="A113" s="20" t="inlineStr">
        <is>
          <t>C010</t>
        </is>
      </c>
      <c r="B113" s="20" t="inlineStr">
        <is>
          <t>Vantage Tech</t>
        </is>
      </c>
      <c r="C113" s="47" t="n">
        <v>45292</v>
      </c>
      <c r="D113" s="48" t="n">
        <v>250</v>
      </c>
      <c r="E113" s="48" t="n">
        <v>140</v>
      </c>
      <c r="F113" s="49">
        <f>IFERROR(E113/D113,0)</f>
        <v/>
      </c>
      <c r="G113" s="34" t="n">
        <v>28</v>
      </c>
      <c r="H113" s="34" t="n">
        <v>45</v>
      </c>
      <c r="I113" s="49">
        <f>IFERROR(G113/H113,0)</f>
        <v/>
      </c>
      <c r="J113" s="28" t="n">
        <v>7.3</v>
      </c>
      <c r="K113" s="28" t="n">
        <v>25.2</v>
      </c>
      <c r="L113" s="48" t="n">
        <v>148713</v>
      </c>
      <c r="M113" s="34" t="n">
        <v>52</v>
      </c>
      <c r="N113" s="20" t="inlineStr">
        <is>
          <t>Partial</t>
        </is>
      </c>
    </row>
    <row r="114" ht="15" customHeight="1">
      <c r="A114" s="24" t="inlineStr">
        <is>
          <t>C010</t>
        </is>
      </c>
      <c r="B114" s="24" t="inlineStr">
        <is>
          <t>Vantage Tech</t>
        </is>
      </c>
      <c r="C114" s="50" t="n">
        <v>45323</v>
      </c>
      <c r="D114" s="51" t="n">
        <v>250</v>
      </c>
      <c r="E114" s="51" t="n">
        <v>151</v>
      </c>
      <c r="F114" s="52">
        <f>IFERROR(E114/D114,0)</f>
        <v/>
      </c>
      <c r="G114" s="35" t="n">
        <v>27</v>
      </c>
      <c r="H114" s="35" t="n">
        <v>45</v>
      </c>
      <c r="I114" s="52">
        <f>IFERROR(G114/H114,0)</f>
        <v/>
      </c>
      <c r="J114" s="29" t="n">
        <v>7.8</v>
      </c>
      <c r="K114" s="29" t="n">
        <v>42.1</v>
      </c>
      <c r="L114" s="51" t="n">
        <v>140787</v>
      </c>
      <c r="M114" s="35" t="n"/>
      <c r="N114" s="24" t="inlineStr">
        <is>
          <t>Partial</t>
        </is>
      </c>
    </row>
    <row r="115" ht="15" customHeight="1">
      <c r="A115" s="20" t="inlineStr">
        <is>
          <t>C010</t>
        </is>
      </c>
      <c r="B115" s="20" t="inlineStr">
        <is>
          <t>Vantage Tech</t>
        </is>
      </c>
      <c r="C115" s="47" t="n">
        <v>45352</v>
      </c>
      <c r="D115" s="48" t="n">
        <v>250</v>
      </c>
      <c r="E115" s="48" t="n">
        <v>154</v>
      </c>
      <c r="F115" s="49">
        <f>IFERROR(E115/D115,0)</f>
        <v/>
      </c>
      <c r="G115" s="34" t="n">
        <v>27</v>
      </c>
      <c r="H115" s="34" t="n">
        <v>45</v>
      </c>
      <c r="I115" s="49">
        <f>IFERROR(G115/H115,0)</f>
        <v/>
      </c>
      <c r="J115" s="28" t="n">
        <v>7</v>
      </c>
      <c r="K115" s="28" t="n">
        <v>50.6</v>
      </c>
      <c r="L115" s="48" t="n">
        <v>25893</v>
      </c>
      <c r="M115" s="34" t="n"/>
      <c r="N115" s="20" t="inlineStr">
        <is>
          <t>Partial</t>
        </is>
      </c>
    </row>
    <row r="116" ht="15" customHeight="1">
      <c r="A116" s="24" t="inlineStr">
        <is>
          <t>C010</t>
        </is>
      </c>
      <c r="B116" s="24" t="inlineStr">
        <is>
          <t>Vantage Tech</t>
        </is>
      </c>
      <c r="C116" s="50" t="n">
        <v>45383</v>
      </c>
      <c r="D116" s="51" t="n">
        <v>250</v>
      </c>
      <c r="E116" s="51" t="n">
        <v>162</v>
      </c>
      <c r="F116" s="52">
        <f>IFERROR(E116/D116,0)</f>
        <v/>
      </c>
      <c r="G116" s="35" t="n">
        <v>30</v>
      </c>
      <c r="H116" s="35" t="n">
        <v>45</v>
      </c>
      <c r="I116" s="52">
        <f>IFERROR(G116/H116,0)</f>
        <v/>
      </c>
      <c r="J116" s="29" t="n">
        <v>6.5</v>
      </c>
      <c r="K116" s="29" t="n">
        <v>14.3</v>
      </c>
      <c r="L116" s="51" t="n">
        <v>78435</v>
      </c>
      <c r="M116" s="35" t="n"/>
      <c r="N116" s="24" t="inlineStr">
        <is>
          <t>Partial</t>
        </is>
      </c>
    </row>
    <row r="117" ht="15" customHeight="1">
      <c r="A117" s="20" t="inlineStr">
        <is>
          <t>C010</t>
        </is>
      </c>
      <c r="B117" s="20" t="inlineStr">
        <is>
          <t>Vantage Tech</t>
        </is>
      </c>
      <c r="C117" s="47" t="n">
        <v>45413</v>
      </c>
      <c r="D117" s="48" t="n">
        <v>250</v>
      </c>
      <c r="E117" s="48" t="n">
        <v>165</v>
      </c>
      <c r="F117" s="49">
        <f>IFERROR(E117/D117,0)</f>
        <v/>
      </c>
      <c r="G117" s="34" t="n">
        <v>28</v>
      </c>
      <c r="H117" s="34" t="n">
        <v>45</v>
      </c>
      <c r="I117" s="49">
        <f>IFERROR(G117/H117,0)</f>
        <v/>
      </c>
      <c r="J117" s="28" t="n">
        <v>6.9</v>
      </c>
      <c r="K117" s="28" t="n">
        <v>56.8</v>
      </c>
      <c r="L117" s="48" t="n">
        <v>70845</v>
      </c>
      <c r="M117" s="34" t="n"/>
      <c r="N117" s="20" t="inlineStr">
        <is>
          <t>Partial</t>
        </is>
      </c>
    </row>
    <row r="118" ht="15" customHeight="1">
      <c r="A118" s="24" t="inlineStr">
        <is>
          <t>C010</t>
        </is>
      </c>
      <c r="B118" s="24" t="inlineStr">
        <is>
          <t>Vantage Tech</t>
        </is>
      </c>
      <c r="C118" s="50" t="n">
        <v>45444</v>
      </c>
      <c r="D118" s="51" t="n">
        <v>250</v>
      </c>
      <c r="E118" s="51" t="n">
        <v>164</v>
      </c>
      <c r="F118" s="52">
        <f>IFERROR(E118/D118,0)</f>
        <v/>
      </c>
      <c r="G118" s="35" t="n">
        <v>29</v>
      </c>
      <c r="H118" s="35" t="n">
        <v>45</v>
      </c>
      <c r="I118" s="52">
        <f>IFERROR(G118/H118,0)</f>
        <v/>
      </c>
      <c r="J118" s="29" t="n">
        <v>6.6</v>
      </c>
      <c r="K118" s="29" t="n">
        <v>60</v>
      </c>
      <c r="L118" s="51" t="n">
        <v>68958</v>
      </c>
      <c r="M118" s="35" t="n"/>
      <c r="N118" s="24" t="inlineStr">
        <is>
          <t>Partial</t>
        </is>
      </c>
    </row>
    <row r="119" ht="15" customHeight="1">
      <c r="A119" s="20" t="inlineStr">
        <is>
          <t>C010</t>
        </is>
      </c>
      <c r="B119" s="20" t="inlineStr">
        <is>
          <t>Vantage Tech</t>
        </is>
      </c>
      <c r="C119" s="47" t="n">
        <v>45474</v>
      </c>
      <c r="D119" s="48" t="n">
        <v>250</v>
      </c>
      <c r="E119" s="48" t="n">
        <v>148</v>
      </c>
      <c r="F119" s="49">
        <f>IFERROR(E119/D119,0)</f>
        <v/>
      </c>
      <c r="G119" s="34" t="n">
        <v>30</v>
      </c>
      <c r="H119" s="34" t="n">
        <v>45</v>
      </c>
      <c r="I119" s="49">
        <f>IFERROR(G119/H119,0)</f>
        <v/>
      </c>
      <c r="J119" s="28" t="n">
        <v>7.5</v>
      </c>
      <c r="K119" s="28" t="n">
        <v>12</v>
      </c>
      <c r="L119" s="48" t="n">
        <v>141021</v>
      </c>
      <c r="M119" s="34" t="n"/>
      <c r="N119" s="20" t="inlineStr">
        <is>
          <t>Partial</t>
        </is>
      </c>
    </row>
    <row r="120" ht="15" customHeight="1">
      <c r="A120" s="24" t="inlineStr">
        <is>
          <t>C010</t>
        </is>
      </c>
      <c r="B120" s="24" t="inlineStr">
        <is>
          <t>Vantage Tech</t>
        </is>
      </c>
      <c r="C120" s="50" t="n">
        <v>45505</v>
      </c>
      <c r="D120" s="51" t="n">
        <v>250</v>
      </c>
      <c r="E120" s="51" t="n">
        <v>150</v>
      </c>
      <c r="F120" s="52">
        <f>IFERROR(E120/D120,0)</f>
        <v/>
      </c>
      <c r="G120" s="35" t="n">
        <v>31</v>
      </c>
      <c r="H120" s="35" t="n">
        <v>45</v>
      </c>
      <c r="I120" s="52">
        <f>IFERROR(G120/H120,0)</f>
        <v/>
      </c>
      <c r="J120" s="29" t="n">
        <v>6.7</v>
      </c>
      <c r="K120" s="29" t="n">
        <v>46.8</v>
      </c>
      <c r="L120" s="51" t="n">
        <v>133974</v>
      </c>
      <c r="M120" s="35" t="n"/>
      <c r="N120" s="24" t="inlineStr">
        <is>
          <t>Partial</t>
        </is>
      </c>
    </row>
    <row r="121" ht="15" customHeight="1">
      <c r="A121" s="20" t="inlineStr">
        <is>
          <t>C010</t>
        </is>
      </c>
      <c r="B121" s="20" t="inlineStr">
        <is>
          <t>Vantage Tech</t>
        </is>
      </c>
      <c r="C121" s="47" t="n">
        <v>45536</v>
      </c>
      <c r="D121" s="48" t="n">
        <v>250</v>
      </c>
      <c r="E121" s="48" t="n">
        <v>155</v>
      </c>
      <c r="F121" s="49">
        <f>IFERROR(E121/D121,0)</f>
        <v/>
      </c>
      <c r="G121" s="34" t="n">
        <v>31</v>
      </c>
      <c r="H121" s="34" t="n">
        <v>45</v>
      </c>
      <c r="I121" s="49">
        <f>IFERROR(G121/H121,0)</f>
        <v/>
      </c>
      <c r="J121" s="28" t="n">
        <v>6.5</v>
      </c>
      <c r="K121" s="28" t="n">
        <v>61.4</v>
      </c>
      <c r="L121" s="48" t="n">
        <v>30969</v>
      </c>
      <c r="M121" s="34" t="n"/>
      <c r="N121" s="20" t="inlineStr">
        <is>
          <t>Partial</t>
        </is>
      </c>
    </row>
    <row r="122" ht="15" customHeight="1">
      <c r="A122" s="24" t="inlineStr">
        <is>
          <t>C010</t>
        </is>
      </c>
      <c r="B122" s="24" t="inlineStr">
        <is>
          <t>Vantage Tech</t>
        </is>
      </c>
      <c r="C122" s="50" t="n">
        <v>45566</v>
      </c>
      <c r="D122" s="51" t="n">
        <v>250</v>
      </c>
      <c r="E122" s="51" t="n">
        <v>149</v>
      </c>
      <c r="F122" s="52">
        <f>IFERROR(E122/D122,0)</f>
        <v/>
      </c>
      <c r="G122" s="35" t="n">
        <v>32</v>
      </c>
      <c r="H122" s="35" t="n">
        <v>45</v>
      </c>
      <c r="I122" s="52">
        <f>IFERROR(G122/H122,0)</f>
        <v/>
      </c>
      <c r="J122" s="29" t="n">
        <v>8</v>
      </c>
      <c r="K122" s="29" t="n">
        <v>24.5</v>
      </c>
      <c r="L122" s="51" t="n">
        <v>56445</v>
      </c>
      <c r="M122" s="35" t="n"/>
      <c r="N122" s="24" t="inlineStr">
        <is>
          <t>Partial</t>
        </is>
      </c>
    </row>
    <row r="123" ht="15" customHeight="1">
      <c r="A123" s="20" t="inlineStr">
        <is>
          <t>C010</t>
        </is>
      </c>
      <c r="B123" s="20" t="inlineStr">
        <is>
          <t>Vantage Tech</t>
        </is>
      </c>
      <c r="C123" s="47" t="n">
        <v>45597</v>
      </c>
      <c r="D123" s="48" t="n">
        <v>250</v>
      </c>
      <c r="E123" s="48" t="n">
        <v>169</v>
      </c>
      <c r="F123" s="49">
        <f>IFERROR(E123/D123,0)</f>
        <v/>
      </c>
      <c r="G123" s="34" t="n">
        <v>31</v>
      </c>
      <c r="H123" s="34" t="n">
        <v>45</v>
      </c>
      <c r="I123" s="49">
        <f>IFERROR(G123/H123,0)</f>
        <v/>
      </c>
      <c r="J123" s="28" t="n">
        <v>7.7</v>
      </c>
      <c r="K123" s="28" t="n">
        <v>9.5</v>
      </c>
      <c r="L123" s="48" t="n">
        <v>138303</v>
      </c>
      <c r="M123" s="34" t="n"/>
      <c r="N123" s="20" t="inlineStr">
        <is>
          <t>Partial</t>
        </is>
      </c>
    </row>
    <row r="124" ht="15" customHeight="1">
      <c r="A124" s="24" t="inlineStr">
        <is>
          <t>C010</t>
        </is>
      </c>
      <c r="B124" s="24" t="inlineStr">
        <is>
          <t>Vantage Tech</t>
        </is>
      </c>
      <c r="C124" s="50" t="n">
        <v>45627</v>
      </c>
      <c r="D124" s="51" t="n">
        <v>250</v>
      </c>
      <c r="E124" s="51" t="n">
        <v>164</v>
      </c>
      <c r="F124" s="52">
        <f>IFERROR(E124/D124,0)</f>
        <v/>
      </c>
      <c r="G124" s="35" t="n">
        <v>32</v>
      </c>
      <c r="H124" s="35" t="n">
        <v>45</v>
      </c>
      <c r="I124" s="52">
        <f>IFERROR(G124/H124,0)</f>
        <v/>
      </c>
      <c r="J124" s="29" t="n">
        <v>8.5</v>
      </c>
      <c r="K124" s="29" t="n">
        <v>41.4</v>
      </c>
      <c r="L124" s="51" t="n">
        <v>149673</v>
      </c>
      <c r="M124" s="35" t="n"/>
      <c r="N124" s="24" t="inlineStr">
        <is>
          <t>Partial</t>
        </is>
      </c>
    </row>
    <row r="125" ht="15" customHeight="1">
      <c r="A125" s="20" t="inlineStr">
        <is>
          <t>C011</t>
        </is>
      </c>
      <c r="B125" s="20" t="inlineStr">
        <is>
          <t>Horizon Pharma</t>
        </is>
      </c>
      <c r="C125" s="47" t="n">
        <v>45292</v>
      </c>
      <c r="D125" s="48" t="n">
        <v>200</v>
      </c>
      <c r="E125" s="48" t="n">
        <v>169</v>
      </c>
      <c r="F125" s="49">
        <f>IFERROR(E125/D125,0)</f>
        <v/>
      </c>
      <c r="G125" s="34" t="n">
        <v>39</v>
      </c>
      <c r="H125" s="34" t="n">
        <v>45</v>
      </c>
      <c r="I125" s="49">
        <f>IFERROR(G125/H125,0)</f>
        <v/>
      </c>
      <c r="J125" s="28" t="n">
        <v>11.1</v>
      </c>
      <c r="K125" s="28" t="n">
        <v>24.8</v>
      </c>
      <c r="L125" s="48" t="n">
        <v>110205</v>
      </c>
      <c r="M125" s="34" t="n">
        <v>34</v>
      </c>
      <c r="N125" s="20" t="inlineStr">
        <is>
          <t>Yes</t>
        </is>
      </c>
    </row>
    <row r="126" ht="15" customHeight="1">
      <c r="A126" s="24" t="inlineStr">
        <is>
          <t>C011</t>
        </is>
      </c>
      <c r="B126" s="24" t="inlineStr">
        <is>
          <t>Horizon Pharma</t>
        </is>
      </c>
      <c r="C126" s="50" t="n">
        <v>45323</v>
      </c>
      <c r="D126" s="51" t="n">
        <v>200</v>
      </c>
      <c r="E126" s="51" t="n">
        <v>171</v>
      </c>
      <c r="F126" s="52">
        <f>IFERROR(E126/D126,0)</f>
        <v/>
      </c>
      <c r="G126" s="35" t="n">
        <v>38</v>
      </c>
      <c r="H126" s="35" t="n">
        <v>45</v>
      </c>
      <c r="I126" s="52">
        <f>IFERROR(G126/H126,0)</f>
        <v/>
      </c>
      <c r="J126" s="29" t="n">
        <v>12.3</v>
      </c>
      <c r="K126" s="29" t="n">
        <v>20</v>
      </c>
      <c r="L126" s="51" t="n">
        <v>77778</v>
      </c>
      <c r="M126" s="35" t="n"/>
      <c r="N126" s="24" t="inlineStr">
        <is>
          <t>Yes</t>
        </is>
      </c>
    </row>
    <row r="127" ht="15" customHeight="1">
      <c r="A127" s="20" t="inlineStr">
        <is>
          <t>C011</t>
        </is>
      </c>
      <c r="B127" s="20" t="inlineStr">
        <is>
          <t>Horizon Pharma</t>
        </is>
      </c>
      <c r="C127" s="47" t="n">
        <v>45352</v>
      </c>
      <c r="D127" s="48" t="n">
        <v>200</v>
      </c>
      <c r="E127" s="48" t="n">
        <v>178</v>
      </c>
      <c r="F127" s="49">
        <f>IFERROR(E127/D127,0)</f>
        <v/>
      </c>
      <c r="G127" s="34" t="n">
        <v>38</v>
      </c>
      <c r="H127" s="34" t="n">
        <v>45</v>
      </c>
      <c r="I127" s="49">
        <f>IFERROR(G127/H127,0)</f>
        <v/>
      </c>
      <c r="J127" s="28" t="n">
        <v>13.2</v>
      </c>
      <c r="K127" s="28" t="n">
        <v>12</v>
      </c>
      <c r="L127" s="48" t="n">
        <v>87849</v>
      </c>
      <c r="M127" s="34" t="n"/>
      <c r="N127" s="20" t="inlineStr">
        <is>
          <t>Yes</t>
        </is>
      </c>
    </row>
    <row r="128" ht="15" customHeight="1">
      <c r="A128" s="24" t="inlineStr">
        <is>
          <t>C011</t>
        </is>
      </c>
      <c r="B128" s="24" t="inlineStr">
        <is>
          <t>Horizon Pharma</t>
        </is>
      </c>
      <c r="C128" s="50" t="n">
        <v>45383</v>
      </c>
      <c r="D128" s="51" t="n">
        <v>200</v>
      </c>
      <c r="E128" s="51" t="n">
        <v>176</v>
      </c>
      <c r="F128" s="52">
        <f>IFERROR(E128/D128,0)</f>
        <v/>
      </c>
      <c r="G128" s="35" t="n">
        <v>38</v>
      </c>
      <c r="H128" s="35" t="n">
        <v>45</v>
      </c>
      <c r="I128" s="52">
        <f>IFERROR(G128/H128,0)</f>
        <v/>
      </c>
      <c r="J128" s="29" t="n">
        <v>11.9</v>
      </c>
      <c r="K128" s="29" t="n">
        <v>29.9</v>
      </c>
      <c r="L128" s="51" t="n">
        <v>67587</v>
      </c>
      <c r="M128" s="35" t="n"/>
      <c r="N128" s="24" t="inlineStr">
        <is>
          <t>Yes</t>
        </is>
      </c>
    </row>
    <row r="129" ht="15" customHeight="1">
      <c r="A129" s="20" t="inlineStr">
        <is>
          <t>C011</t>
        </is>
      </c>
      <c r="B129" s="20" t="inlineStr">
        <is>
          <t>Horizon Pharma</t>
        </is>
      </c>
      <c r="C129" s="47" t="n">
        <v>45413</v>
      </c>
      <c r="D129" s="48" t="n">
        <v>200</v>
      </c>
      <c r="E129" s="48" t="n">
        <v>176</v>
      </c>
      <c r="F129" s="49">
        <f>IFERROR(E129/D129,0)</f>
        <v/>
      </c>
      <c r="G129" s="34" t="n">
        <v>38</v>
      </c>
      <c r="H129" s="34" t="n">
        <v>45</v>
      </c>
      <c r="I129" s="49">
        <f>IFERROR(G129/H129,0)</f>
        <v/>
      </c>
      <c r="J129" s="28" t="n">
        <v>11.6</v>
      </c>
      <c r="K129" s="28" t="n">
        <v>21.7</v>
      </c>
      <c r="L129" s="48" t="n">
        <v>90525</v>
      </c>
      <c r="M129" s="34" t="n"/>
      <c r="N129" s="20" t="inlineStr">
        <is>
          <t>Yes</t>
        </is>
      </c>
    </row>
    <row r="130" ht="15" customHeight="1">
      <c r="A130" s="24" t="inlineStr">
        <is>
          <t>C011</t>
        </is>
      </c>
      <c r="B130" s="24" t="inlineStr">
        <is>
          <t>Horizon Pharma</t>
        </is>
      </c>
      <c r="C130" s="50" t="n">
        <v>45444</v>
      </c>
      <c r="D130" s="51" t="n">
        <v>200</v>
      </c>
      <c r="E130" s="51" t="n">
        <v>187</v>
      </c>
      <c r="F130" s="52">
        <f>IFERROR(E130/D130,0)</f>
        <v/>
      </c>
      <c r="G130" s="35" t="n">
        <v>39</v>
      </c>
      <c r="H130" s="35" t="n">
        <v>45</v>
      </c>
      <c r="I130" s="52">
        <f>IFERROR(G130/H130,0)</f>
        <v/>
      </c>
      <c r="J130" s="29" t="n">
        <v>12</v>
      </c>
      <c r="K130" s="29" t="n">
        <v>54.9</v>
      </c>
      <c r="L130" s="51" t="n">
        <v>46398</v>
      </c>
      <c r="M130" s="35" t="n"/>
      <c r="N130" s="24" t="inlineStr">
        <is>
          <t>Yes</t>
        </is>
      </c>
    </row>
    <row r="131" ht="15" customHeight="1">
      <c r="A131" s="20" t="inlineStr">
        <is>
          <t>C011</t>
        </is>
      </c>
      <c r="B131" s="20" t="inlineStr">
        <is>
          <t>Horizon Pharma</t>
        </is>
      </c>
      <c r="C131" s="47" t="n">
        <v>45474</v>
      </c>
      <c r="D131" s="48" t="n">
        <v>200</v>
      </c>
      <c r="E131" s="48" t="n">
        <v>188</v>
      </c>
      <c r="F131" s="49">
        <f>IFERROR(E131/D131,0)</f>
        <v/>
      </c>
      <c r="G131" s="34" t="n">
        <v>41</v>
      </c>
      <c r="H131" s="34" t="n">
        <v>45</v>
      </c>
      <c r="I131" s="49">
        <f>IFERROR(G131/H131,0)</f>
        <v/>
      </c>
      <c r="J131" s="28" t="n">
        <v>13</v>
      </c>
      <c r="K131" s="28" t="n">
        <v>17.6</v>
      </c>
      <c r="L131" s="48" t="n">
        <v>46326</v>
      </c>
      <c r="M131" s="34" t="n"/>
      <c r="N131" s="20" t="inlineStr">
        <is>
          <t>Yes</t>
        </is>
      </c>
    </row>
    <row r="132" ht="15" customHeight="1">
      <c r="A132" s="24" t="inlineStr">
        <is>
          <t>C011</t>
        </is>
      </c>
      <c r="B132" s="24" t="inlineStr">
        <is>
          <t>Horizon Pharma</t>
        </is>
      </c>
      <c r="C132" s="50" t="n">
        <v>45505</v>
      </c>
      <c r="D132" s="51" t="n">
        <v>200</v>
      </c>
      <c r="E132" s="51" t="n">
        <v>183</v>
      </c>
      <c r="F132" s="52">
        <f>IFERROR(E132/D132,0)</f>
        <v/>
      </c>
      <c r="G132" s="35" t="n">
        <v>41</v>
      </c>
      <c r="H132" s="35" t="n">
        <v>45</v>
      </c>
      <c r="I132" s="52">
        <f>IFERROR(G132/H132,0)</f>
        <v/>
      </c>
      <c r="J132" s="29" t="n">
        <v>12.6</v>
      </c>
      <c r="K132" s="29" t="n">
        <v>60.2</v>
      </c>
      <c r="L132" s="51" t="n">
        <v>112785</v>
      </c>
      <c r="M132" s="35" t="n"/>
      <c r="N132" s="24" t="inlineStr">
        <is>
          <t>Yes</t>
        </is>
      </c>
    </row>
    <row r="133" ht="15" customHeight="1">
      <c r="A133" s="20" t="inlineStr">
        <is>
          <t>C011</t>
        </is>
      </c>
      <c r="B133" s="20" t="inlineStr">
        <is>
          <t>Horizon Pharma</t>
        </is>
      </c>
      <c r="C133" s="47" t="n">
        <v>45536</v>
      </c>
      <c r="D133" s="48" t="n">
        <v>200</v>
      </c>
      <c r="E133" s="48" t="n">
        <v>176</v>
      </c>
      <c r="F133" s="49">
        <f>IFERROR(E133/D133,0)</f>
        <v/>
      </c>
      <c r="G133" s="34" t="n">
        <v>40</v>
      </c>
      <c r="H133" s="34" t="n">
        <v>45</v>
      </c>
      <c r="I133" s="49">
        <f>IFERROR(G133/H133,0)</f>
        <v/>
      </c>
      <c r="J133" s="28" t="n">
        <v>12.8</v>
      </c>
      <c r="K133" s="28" t="n">
        <v>67.90000000000001</v>
      </c>
      <c r="L133" s="48" t="n">
        <v>57297</v>
      </c>
      <c r="M133" s="34" t="n"/>
      <c r="N133" s="20" t="inlineStr">
        <is>
          <t>Yes</t>
        </is>
      </c>
    </row>
    <row r="134" ht="15" customHeight="1">
      <c r="A134" s="24" t="inlineStr">
        <is>
          <t>C011</t>
        </is>
      </c>
      <c r="B134" s="24" t="inlineStr">
        <is>
          <t>Horizon Pharma</t>
        </is>
      </c>
      <c r="C134" s="50" t="n">
        <v>45566</v>
      </c>
      <c r="D134" s="51" t="n">
        <v>200</v>
      </c>
      <c r="E134" s="51" t="n">
        <v>189</v>
      </c>
      <c r="F134" s="52">
        <f>IFERROR(E134/D134,0)</f>
        <v/>
      </c>
      <c r="G134" s="35" t="n">
        <v>40</v>
      </c>
      <c r="H134" s="35" t="n">
        <v>45</v>
      </c>
      <c r="I134" s="52">
        <f>IFERROR(G134/H134,0)</f>
        <v/>
      </c>
      <c r="J134" s="29" t="n">
        <v>12</v>
      </c>
      <c r="K134" s="29" t="n">
        <v>39.5</v>
      </c>
      <c r="L134" s="51" t="n">
        <v>143631</v>
      </c>
      <c r="M134" s="35" t="n"/>
      <c r="N134" s="24" t="inlineStr">
        <is>
          <t>Yes</t>
        </is>
      </c>
    </row>
    <row r="135" ht="15" customHeight="1">
      <c r="A135" s="20" t="inlineStr">
        <is>
          <t>C011</t>
        </is>
      </c>
      <c r="B135" s="20" t="inlineStr">
        <is>
          <t>Horizon Pharma</t>
        </is>
      </c>
      <c r="C135" s="47" t="n">
        <v>45597</v>
      </c>
      <c r="D135" s="48" t="n">
        <v>200</v>
      </c>
      <c r="E135" s="48" t="n">
        <v>193</v>
      </c>
      <c r="F135" s="49">
        <f>IFERROR(E135/D135,0)</f>
        <v/>
      </c>
      <c r="G135" s="34" t="n">
        <v>41</v>
      </c>
      <c r="H135" s="34" t="n">
        <v>45</v>
      </c>
      <c r="I135" s="49">
        <f>IFERROR(G135/H135,0)</f>
        <v/>
      </c>
      <c r="J135" s="28" t="n">
        <v>13.1</v>
      </c>
      <c r="K135" s="28" t="n">
        <v>64.7</v>
      </c>
      <c r="L135" s="48" t="n">
        <v>99723</v>
      </c>
      <c r="M135" s="34" t="n"/>
      <c r="N135" s="20" t="inlineStr">
        <is>
          <t>Yes</t>
        </is>
      </c>
    </row>
    <row r="136" ht="15" customHeight="1">
      <c r="A136" s="24" t="inlineStr">
        <is>
          <t>C011</t>
        </is>
      </c>
      <c r="B136" s="24" t="inlineStr">
        <is>
          <t>Horizon Pharma</t>
        </is>
      </c>
      <c r="C136" s="50" t="n">
        <v>45627</v>
      </c>
      <c r="D136" s="51" t="n">
        <v>200</v>
      </c>
      <c r="E136" s="51" t="n">
        <v>184</v>
      </c>
      <c r="F136" s="52">
        <f>IFERROR(E136/D136,0)</f>
        <v/>
      </c>
      <c r="G136" s="35" t="n">
        <v>41</v>
      </c>
      <c r="H136" s="35" t="n">
        <v>45</v>
      </c>
      <c r="I136" s="52">
        <f>IFERROR(G136/H136,0)</f>
        <v/>
      </c>
      <c r="J136" s="29" t="n">
        <v>13.6</v>
      </c>
      <c r="K136" s="29" t="n">
        <v>61</v>
      </c>
      <c r="L136" s="51" t="n">
        <v>86946</v>
      </c>
      <c r="M136" s="35" t="n"/>
      <c r="N136" s="24" t="inlineStr">
        <is>
          <t>Yes</t>
        </is>
      </c>
    </row>
    <row r="137" ht="15" customHeight="1">
      <c r="A137" s="20" t="inlineStr">
        <is>
          <t>C012</t>
        </is>
      </c>
      <c r="B137" s="20" t="inlineStr">
        <is>
          <t>Keystone Bank</t>
        </is>
      </c>
      <c r="C137" s="47" t="n">
        <v>45292</v>
      </c>
      <c r="D137" s="48" t="n">
        <v>50</v>
      </c>
      <c r="E137" s="48" t="n">
        <v>15</v>
      </c>
      <c r="F137" s="49">
        <f>IFERROR(E137/D137,0)</f>
        <v/>
      </c>
      <c r="G137" s="34" t="n">
        <v>19</v>
      </c>
      <c r="H137" s="34" t="n">
        <v>45</v>
      </c>
      <c r="I137" s="49">
        <f>IFERROR(G137/H137,0)</f>
        <v/>
      </c>
      <c r="J137" s="28" t="n">
        <v>2.4</v>
      </c>
      <c r="K137" s="28" t="n">
        <v>29.9</v>
      </c>
      <c r="L137" s="48" t="n">
        <v>9818</v>
      </c>
      <c r="M137" s="34" t="n">
        <v>105</v>
      </c>
      <c r="N137" s="20" t="inlineStr">
        <is>
          <t>No</t>
        </is>
      </c>
    </row>
    <row r="138" ht="15" customHeight="1">
      <c r="A138" s="24" t="inlineStr">
        <is>
          <t>C012</t>
        </is>
      </c>
      <c r="B138" s="24" t="inlineStr">
        <is>
          <t>Keystone Bank</t>
        </is>
      </c>
      <c r="C138" s="50" t="n">
        <v>45323</v>
      </c>
      <c r="D138" s="51" t="n">
        <v>50</v>
      </c>
      <c r="E138" s="51" t="n">
        <v>17</v>
      </c>
      <c r="F138" s="52">
        <f>IFERROR(E138/D138,0)</f>
        <v/>
      </c>
      <c r="G138" s="35" t="n">
        <v>18</v>
      </c>
      <c r="H138" s="35" t="n">
        <v>45</v>
      </c>
      <c r="I138" s="52">
        <f>IFERROR(G138/H138,0)</f>
        <v/>
      </c>
      <c r="J138" s="29" t="n">
        <v>3.6</v>
      </c>
      <c r="K138" s="29" t="n">
        <v>18.5</v>
      </c>
      <c r="L138" s="51" t="n">
        <v>45844</v>
      </c>
      <c r="M138" s="35" t="n"/>
      <c r="N138" s="24" t="inlineStr">
        <is>
          <t>No</t>
        </is>
      </c>
    </row>
    <row r="139" ht="15" customHeight="1">
      <c r="A139" s="20" t="inlineStr">
        <is>
          <t>C012</t>
        </is>
      </c>
      <c r="B139" s="20" t="inlineStr">
        <is>
          <t>Keystone Bank</t>
        </is>
      </c>
      <c r="C139" s="47" t="n">
        <v>45352</v>
      </c>
      <c r="D139" s="48" t="n">
        <v>50</v>
      </c>
      <c r="E139" s="48" t="n">
        <v>18</v>
      </c>
      <c r="F139" s="49">
        <f>IFERROR(E139/D139,0)</f>
        <v/>
      </c>
      <c r="G139" s="34" t="n">
        <v>17</v>
      </c>
      <c r="H139" s="34" t="n">
        <v>45</v>
      </c>
      <c r="I139" s="49">
        <f>IFERROR(G139/H139,0)</f>
        <v/>
      </c>
      <c r="J139" s="28" t="n">
        <v>2.4</v>
      </c>
      <c r="K139" s="28" t="n">
        <v>10.3</v>
      </c>
      <c r="L139" s="48" t="n">
        <v>29457</v>
      </c>
      <c r="M139" s="34" t="n"/>
      <c r="N139" s="20" t="inlineStr">
        <is>
          <t>No</t>
        </is>
      </c>
    </row>
    <row r="140" ht="15" customHeight="1">
      <c r="A140" s="24" t="inlineStr">
        <is>
          <t>C012</t>
        </is>
      </c>
      <c r="B140" s="24" t="inlineStr">
        <is>
          <t>Keystone Bank</t>
        </is>
      </c>
      <c r="C140" s="50" t="n">
        <v>45383</v>
      </c>
      <c r="D140" s="51" t="n">
        <v>50</v>
      </c>
      <c r="E140" s="51" t="n">
        <v>19</v>
      </c>
      <c r="F140" s="52">
        <f>IFERROR(E140/D140,0)</f>
        <v/>
      </c>
      <c r="G140" s="35" t="n">
        <v>19</v>
      </c>
      <c r="H140" s="35" t="n">
        <v>45</v>
      </c>
      <c r="I140" s="52">
        <f>IFERROR(G140/H140,0)</f>
        <v/>
      </c>
      <c r="J140" s="29" t="n">
        <v>3.3</v>
      </c>
      <c r="K140" s="29" t="n">
        <v>24.7</v>
      </c>
      <c r="L140" s="51" t="n">
        <v>14454</v>
      </c>
      <c r="M140" s="35" t="n"/>
      <c r="N140" s="24" t="inlineStr">
        <is>
          <t>No</t>
        </is>
      </c>
    </row>
    <row r="141" ht="15" customHeight="1">
      <c r="A141" s="20" t="inlineStr">
        <is>
          <t>C012</t>
        </is>
      </c>
      <c r="B141" s="20" t="inlineStr">
        <is>
          <t>Keystone Bank</t>
        </is>
      </c>
      <c r="C141" s="47" t="n">
        <v>45413</v>
      </c>
      <c r="D141" s="48" t="n">
        <v>50</v>
      </c>
      <c r="E141" s="48" t="n">
        <v>16</v>
      </c>
      <c r="F141" s="49">
        <f>IFERROR(E141/D141,0)</f>
        <v/>
      </c>
      <c r="G141" s="34" t="n">
        <v>20</v>
      </c>
      <c r="H141" s="34" t="n">
        <v>45</v>
      </c>
      <c r="I141" s="49">
        <f>IFERROR(G141/H141,0)</f>
        <v/>
      </c>
      <c r="J141" s="28" t="n">
        <v>3</v>
      </c>
      <c r="K141" s="28" t="n">
        <v>8.199999999999999</v>
      </c>
      <c r="L141" s="48" t="n">
        <v>7550</v>
      </c>
      <c r="M141" s="34" t="n"/>
      <c r="N141" s="20" t="inlineStr">
        <is>
          <t>No</t>
        </is>
      </c>
    </row>
    <row r="142" ht="15" customHeight="1">
      <c r="A142" s="24" t="inlineStr">
        <is>
          <t>C012</t>
        </is>
      </c>
      <c r="B142" s="24" t="inlineStr">
        <is>
          <t>Keystone Bank</t>
        </is>
      </c>
      <c r="C142" s="50" t="n">
        <v>45444</v>
      </c>
      <c r="D142" s="51" t="n">
        <v>50</v>
      </c>
      <c r="E142" s="51" t="n">
        <v>16</v>
      </c>
      <c r="F142" s="52">
        <f>IFERROR(E142/D142,0)</f>
        <v/>
      </c>
      <c r="G142" s="35" t="n">
        <v>19</v>
      </c>
      <c r="H142" s="35" t="n">
        <v>45</v>
      </c>
      <c r="I142" s="52">
        <f>IFERROR(G142/H142,0)</f>
        <v/>
      </c>
      <c r="J142" s="29" t="n">
        <v>3.9</v>
      </c>
      <c r="K142" s="29" t="n">
        <v>35.5</v>
      </c>
      <c r="L142" s="51" t="n">
        <v>14760</v>
      </c>
      <c r="M142" s="35" t="n"/>
      <c r="N142" s="24" t="inlineStr">
        <is>
          <t>No</t>
        </is>
      </c>
    </row>
    <row r="143" ht="15" customHeight="1">
      <c r="A143" s="20" t="inlineStr">
        <is>
          <t>C012</t>
        </is>
      </c>
      <c r="B143" s="20" t="inlineStr">
        <is>
          <t>Keystone Bank</t>
        </is>
      </c>
      <c r="C143" s="47" t="n">
        <v>45474</v>
      </c>
      <c r="D143" s="48" t="n">
        <v>50</v>
      </c>
      <c r="E143" s="48" t="n">
        <v>19</v>
      </c>
      <c r="F143" s="49">
        <f>IFERROR(E143/D143,0)</f>
        <v/>
      </c>
      <c r="G143" s="34" t="n">
        <v>21</v>
      </c>
      <c r="H143" s="34" t="n">
        <v>45</v>
      </c>
      <c r="I143" s="49">
        <f>IFERROR(G143/H143,0)</f>
        <v/>
      </c>
      <c r="J143" s="28" t="n">
        <v>2.6</v>
      </c>
      <c r="K143" s="28" t="n">
        <v>61</v>
      </c>
      <c r="L143" s="48" t="n">
        <v>25875</v>
      </c>
      <c r="M143" s="34" t="n"/>
      <c r="N143" s="20" t="inlineStr">
        <is>
          <t>No</t>
        </is>
      </c>
    </row>
    <row r="144" ht="15" customHeight="1">
      <c r="A144" s="24" t="inlineStr">
        <is>
          <t>C012</t>
        </is>
      </c>
      <c r="B144" s="24" t="inlineStr">
        <is>
          <t>Keystone Bank</t>
        </is>
      </c>
      <c r="C144" s="50" t="n">
        <v>45505</v>
      </c>
      <c r="D144" s="51" t="n">
        <v>50</v>
      </c>
      <c r="E144" s="51" t="n">
        <v>17</v>
      </c>
      <c r="F144" s="52">
        <f>IFERROR(E144/D144,0)</f>
        <v/>
      </c>
      <c r="G144" s="35" t="n">
        <v>21</v>
      </c>
      <c r="H144" s="35" t="n">
        <v>45</v>
      </c>
      <c r="I144" s="52">
        <f>IFERROR(G144/H144,0)</f>
        <v/>
      </c>
      <c r="J144" s="29" t="n">
        <v>3.8</v>
      </c>
      <c r="K144" s="29" t="n">
        <v>24.9</v>
      </c>
      <c r="L144" s="51" t="n">
        <v>27044</v>
      </c>
      <c r="M144" s="35" t="n"/>
      <c r="N144" s="24" t="inlineStr">
        <is>
          <t>No</t>
        </is>
      </c>
    </row>
    <row r="145" ht="15" customHeight="1">
      <c r="A145" s="20" t="inlineStr">
        <is>
          <t>C012</t>
        </is>
      </c>
      <c r="B145" s="20" t="inlineStr">
        <is>
          <t>Keystone Bank</t>
        </is>
      </c>
      <c r="C145" s="47" t="n">
        <v>45536</v>
      </c>
      <c r="D145" s="48" t="n">
        <v>50</v>
      </c>
      <c r="E145" s="48" t="n">
        <v>19</v>
      </c>
      <c r="F145" s="49">
        <f>IFERROR(E145/D145,0)</f>
        <v/>
      </c>
      <c r="G145" s="34" t="n">
        <v>21</v>
      </c>
      <c r="H145" s="34" t="n">
        <v>45</v>
      </c>
      <c r="I145" s="49">
        <f>IFERROR(G145/H145,0)</f>
        <v/>
      </c>
      <c r="J145" s="28" t="n">
        <v>3.5</v>
      </c>
      <c r="K145" s="28" t="n">
        <v>51.7</v>
      </c>
      <c r="L145" s="48" t="n">
        <v>24647</v>
      </c>
      <c r="M145" s="34" t="n"/>
      <c r="N145" s="20" t="inlineStr">
        <is>
          <t>No</t>
        </is>
      </c>
    </row>
    <row r="146" ht="15" customHeight="1">
      <c r="A146" s="24" t="inlineStr">
        <is>
          <t>C012</t>
        </is>
      </c>
      <c r="B146" s="24" t="inlineStr">
        <is>
          <t>Keystone Bank</t>
        </is>
      </c>
      <c r="C146" s="50" t="n">
        <v>45566</v>
      </c>
      <c r="D146" s="51" t="n">
        <v>50</v>
      </c>
      <c r="E146" s="51" t="n">
        <v>19</v>
      </c>
      <c r="F146" s="52">
        <f>IFERROR(E146/D146,0)</f>
        <v/>
      </c>
      <c r="G146" s="35" t="n">
        <v>20</v>
      </c>
      <c r="H146" s="35" t="n">
        <v>45</v>
      </c>
      <c r="I146" s="52">
        <f>IFERROR(G146/H146,0)</f>
        <v/>
      </c>
      <c r="J146" s="29" t="n">
        <v>3.2</v>
      </c>
      <c r="K146" s="29" t="n">
        <v>51.2</v>
      </c>
      <c r="L146" s="51" t="n">
        <v>32298</v>
      </c>
      <c r="M146" s="35" t="n"/>
      <c r="N146" s="24" t="inlineStr">
        <is>
          <t>No</t>
        </is>
      </c>
    </row>
    <row r="147" ht="15" customHeight="1">
      <c r="A147" s="20" t="inlineStr">
        <is>
          <t>C012</t>
        </is>
      </c>
      <c r="B147" s="20" t="inlineStr">
        <is>
          <t>Keystone Bank</t>
        </is>
      </c>
      <c r="C147" s="47" t="n">
        <v>45597</v>
      </c>
      <c r="D147" s="48" t="n">
        <v>50</v>
      </c>
      <c r="E147" s="48" t="n">
        <v>20</v>
      </c>
      <c r="F147" s="49">
        <f>IFERROR(E147/D147,0)</f>
        <v/>
      </c>
      <c r="G147" s="34" t="n">
        <v>22</v>
      </c>
      <c r="H147" s="34" t="n">
        <v>45</v>
      </c>
      <c r="I147" s="49">
        <f>IFERROR(G147/H147,0)</f>
        <v/>
      </c>
      <c r="J147" s="28" t="n">
        <v>4.2</v>
      </c>
      <c r="K147" s="28" t="n">
        <v>50</v>
      </c>
      <c r="L147" s="48" t="n">
        <v>44119</v>
      </c>
      <c r="M147" s="34" t="n"/>
      <c r="N147" s="20" t="inlineStr">
        <is>
          <t>No</t>
        </is>
      </c>
    </row>
    <row r="148" ht="15" customHeight="1">
      <c r="A148" s="24" t="inlineStr">
        <is>
          <t>C012</t>
        </is>
      </c>
      <c r="B148" s="24" t="inlineStr">
        <is>
          <t>Keystone Bank</t>
        </is>
      </c>
      <c r="C148" s="50" t="n">
        <v>45627</v>
      </c>
      <c r="D148" s="51" t="n">
        <v>50</v>
      </c>
      <c r="E148" s="51" t="n">
        <v>20</v>
      </c>
      <c r="F148" s="52">
        <f>IFERROR(E148/D148,0)</f>
        <v/>
      </c>
      <c r="G148" s="35" t="n">
        <v>22</v>
      </c>
      <c r="H148" s="35" t="n">
        <v>45</v>
      </c>
      <c r="I148" s="52">
        <f>IFERROR(G148/H148,0)</f>
        <v/>
      </c>
      <c r="J148" s="29" t="n">
        <v>4.1</v>
      </c>
      <c r="K148" s="29" t="n">
        <v>61.9</v>
      </c>
      <c r="L148" s="51" t="n">
        <v>42855</v>
      </c>
      <c r="M148" s="35" t="n"/>
      <c r="N148" s="24" t="inlineStr">
        <is>
          <t>No</t>
        </is>
      </c>
    </row>
    <row r="150" ht="15" customHeight="1">
      <c r="A150" s="91" t="inlineStr">
        <is>
          <t>Latest Month Adoption Summary by Customer</t>
        </is>
      </c>
    </row>
    <row r="151" ht="39" customHeight="1">
      <c r="A151" s="5" t="inlineStr">
        <is>
          <t>Customer ID</t>
        </is>
      </c>
      <c r="B151" s="5" t="inlineStr">
        <is>
          <t>Latest Adoption Rate</t>
        </is>
      </c>
      <c r="C151" s="5" t="inlineStr">
        <is>
          <t>Latest Feature Adoption</t>
        </is>
      </c>
      <c r="D151" s="5" t="inlineStr">
        <is>
          <t>Avg Sessions/User/Week</t>
        </is>
      </c>
      <c r="E151" s="5" t="inlineStr">
        <is>
          <t>Partner-Supported?</t>
        </is>
      </c>
      <c r="F151" s="5" t="inlineStr">
        <is>
          <t>Time-to-Value (days)</t>
        </is>
      </c>
    </row>
    <row r="152" ht="15" customHeight="1">
      <c r="A152" s="98" t="inlineStr">
        <is>
          <t>C001</t>
        </is>
      </c>
      <c r="B152" s="10">
        <f>F16</f>
        <v/>
      </c>
      <c r="C152" s="10">
        <f>I16</f>
        <v/>
      </c>
      <c r="D152" s="44">
        <f>J16</f>
        <v/>
      </c>
      <c r="E152" s="9">
        <f>N16</f>
        <v/>
      </c>
      <c r="F152" s="53">
        <f>M5</f>
        <v/>
      </c>
    </row>
    <row r="153" ht="15" customHeight="1">
      <c r="A153" s="98" t="inlineStr">
        <is>
          <t>C002</t>
        </is>
      </c>
      <c r="B153" s="10">
        <f>F28</f>
        <v/>
      </c>
      <c r="C153" s="10">
        <f>I28</f>
        <v/>
      </c>
      <c r="D153" s="44">
        <f>J28</f>
        <v/>
      </c>
      <c r="E153" s="9">
        <f>N28</f>
        <v/>
      </c>
      <c r="F153" s="53">
        <f>M17</f>
        <v/>
      </c>
    </row>
    <row r="154" ht="15" customHeight="1">
      <c r="A154" s="98" t="inlineStr">
        <is>
          <t>C003</t>
        </is>
      </c>
      <c r="B154" s="10">
        <f>F40</f>
        <v/>
      </c>
      <c r="C154" s="10">
        <f>I40</f>
        <v/>
      </c>
      <c r="D154" s="44">
        <f>J40</f>
        <v/>
      </c>
      <c r="E154" s="9">
        <f>N40</f>
        <v/>
      </c>
      <c r="F154" s="53">
        <f>M29</f>
        <v/>
      </c>
    </row>
    <row r="155" ht="15" customHeight="1">
      <c r="A155" s="98" t="inlineStr">
        <is>
          <t>C004</t>
        </is>
      </c>
      <c r="B155" s="10">
        <f>F52</f>
        <v/>
      </c>
      <c r="C155" s="10">
        <f>I52</f>
        <v/>
      </c>
      <c r="D155" s="44">
        <f>J52</f>
        <v/>
      </c>
      <c r="E155" s="9">
        <f>N52</f>
        <v/>
      </c>
      <c r="F155" s="53">
        <f>M41</f>
        <v/>
      </c>
    </row>
    <row r="156" ht="15" customHeight="1">
      <c r="A156" s="98" t="inlineStr">
        <is>
          <t>C005</t>
        </is>
      </c>
      <c r="B156" s="10">
        <f>F64</f>
        <v/>
      </c>
      <c r="C156" s="10">
        <f>I64</f>
        <v/>
      </c>
      <c r="D156" s="44">
        <f>J64</f>
        <v/>
      </c>
      <c r="E156" s="9">
        <f>N64</f>
        <v/>
      </c>
      <c r="F156" s="53">
        <f>M53</f>
        <v/>
      </c>
    </row>
    <row r="157" ht="15" customHeight="1">
      <c r="A157" s="98" t="inlineStr">
        <is>
          <t>C006</t>
        </is>
      </c>
      <c r="B157" s="10">
        <f>F76</f>
        <v/>
      </c>
      <c r="C157" s="10">
        <f>I76</f>
        <v/>
      </c>
      <c r="D157" s="44">
        <f>J76</f>
        <v/>
      </c>
      <c r="E157" s="9">
        <f>N76</f>
        <v/>
      </c>
      <c r="F157" s="53">
        <f>M65</f>
        <v/>
      </c>
    </row>
    <row r="158" ht="15" customHeight="1">
      <c r="A158" s="98" t="inlineStr">
        <is>
          <t>C007</t>
        </is>
      </c>
      <c r="B158" s="10">
        <f>F88</f>
        <v/>
      </c>
      <c r="C158" s="10">
        <f>I88</f>
        <v/>
      </c>
      <c r="D158" s="44">
        <f>J88</f>
        <v/>
      </c>
      <c r="E158" s="9">
        <f>N88</f>
        <v/>
      </c>
      <c r="F158" s="53">
        <f>M77</f>
        <v/>
      </c>
    </row>
    <row r="159" ht="15" customHeight="1">
      <c r="A159" s="98" t="inlineStr">
        <is>
          <t>C008</t>
        </is>
      </c>
      <c r="B159" s="10">
        <f>F100</f>
        <v/>
      </c>
      <c r="C159" s="10">
        <f>I100</f>
        <v/>
      </c>
      <c r="D159" s="44">
        <f>J100</f>
        <v/>
      </c>
      <c r="E159" s="9">
        <f>N100</f>
        <v/>
      </c>
      <c r="F159" s="53">
        <f>M89</f>
        <v/>
      </c>
    </row>
    <row r="160" ht="15" customHeight="1">
      <c r="A160" s="98" t="inlineStr">
        <is>
          <t>C009</t>
        </is>
      </c>
      <c r="B160" s="10">
        <f>F112</f>
        <v/>
      </c>
      <c r="C160" s="10">
        <f>I112</f>
        <v/>
      </c>
      <c r="D160" s="44">
        <f>J112</f>
        <v/>
      </c>
      <c r="E160" s="9">
        <f>N112</f>
        <v/>
      </c>
      <c r="F160" s="53">
        <f>M101</f>
        <v/>
      </c>
    </row>
    <row r="161" ht="15" customHeight="1">
      <c r="A161" s="98" t="inlineStr">
        <is>
          <t>C010</t>
        </is>
      </c>
      <c r="B161" s="10">
        <f>F124</f>
        <v/>
      </c>
      <c r="C161" s="10">
        <f>I124</f>
        <v/>
      </c>
      <c r="D161" s="44">
        <f>J124</f>
        <v/>
      </c>
      <c r="E161" s="9">
        <f>N124</f>
        <v/>
      </c>
      <c r="F161" s="53">
        <f>M113</f>
        <v/>
      </c>
    </row>
    <row r="162" ht="15" customHeight="1">
      <c r="A162" s="98" t="inlineStr">
        <is>
          <t>C011</t>
        </is>
      </c>
      <c r="B162" s="10">
        <f>F136</f>
        <v/>
      </c>
      <c r="C162" s="10">
        <f>I136</f>
        <v/>
      </c>
      <c r="D162" s="44">
        <f>J136</f>
        <v/>
      </c>
      <c r="E162" s="9">
        <f>N136</f>
        <v/>
      </c>
      <c r="F162" s="53">
        <f>M125</f>
        <v/>
      </c>
    </row>
    <row r="163" ht="15" customHeight="1">
      <c r="A163" s="98" t="inlineStr">
        <is>
          <t>C012</t>
        </is>
      </c>
      <c r="B163" s="10">
        <f>F148</f>
        <v/>
      </c>
      <c r="C163" s="10">
        <f>I148</f>
        <v/>
      </c>
      <c r="D163" s="44">
        <f>J148</f>
        <v/>
      </c>
      <c r="E163" s="9">
        <f>N148</f>
        <v/>
      </c>
      <c r="F163" s="53">
        <f>M137</f>
        <v/>
      </c>
    </row>
  </sheetData>
  <mergeCells count="3">
    <mergeCell ref="A2:N2"/>
    <mergeCell ref="A150:F150"/>
    <mergeCell ref="A1:N1"/>
  </mergeCells>
  <pageMargins left="0.75" right="0.75" top="1" bottom="1" header="0.511811023622047" footer="0.511811023622047"/>
  <pageSetup orientation="portrait" paperSize="9" horizontalDpi="300" verticalDpi="300"/>
</worksheet>
</file>

<file path=xl/worksheets/sheet10.xml><?xml version="1.0" encoding="utf-8"?>
<worksheet xmlns="http://schemas.openxmlformats.org/spreadsheetml/2006/main">
  <sheetPr>
    <tabColor rgb="FF7B2D8E"/>
    <outlinePr summaryBelow="1" summaryRight="1"/>
    <pageSetUpPr/>
  </sheetPr>
  <dimension ref="A1:K33"/>
  <sheetViews>
    <sheetView zoomScaleNormal="100" workbookViewId="0">
      <selection activeCell="A1" sqref="A1:K1"/>
    </sheetView>
  </sheetViews>
  <sheetFormatPr baseColWidth="8" defaultColWidth="8.7109375" defaultRowHeight="15"/>
  <cols>
    <col width="10" customWidth="1" min="1" max="1"/>
    <col width="12" customWidth="1" min="2" max="3"/>
    <col width="22" customWidth="1" min="4" max="4"/>
    <col width="12" customWidth="1" min="5" max="5"/>
    <col width="22" customWidth="1" min="6" max="8"/>
    <col width="20" customWidth="1" min="9" max="9"/>
    <col width="10" customWidth="1" min="10" max="10"/>
    <col width="60" customWidth="1" min="11" max="11"/>
  </cols>
  <sheetData>
    <row r="1" ht="17.25" customHeight="1">
      <c r="A1" s="93" t="inlineStr">
        <is>
          <t>Internal Reputation &amp; Stakeholder Feedback</t>
        </is>
      </c>
    </row>
    <row r="2" ht="15" customHeight="1">
      <c r="A2" s="94" t="inlineStr">
        <is>
          <t>Captures what traditional systems miss: internal call-outs, praise from sales/CS/support reps, and qualitative signals about partner impact. This is how embedded advisors become visible.</t>
        </is>
      </c>
    </row>
    <row r="4" ht="26.25" customHeight="1">
      <c r="A4" s="5" t="inlineStr">
        <is>
          <t>Feedback ID</t>
        </is>
      </c>
      <c r="B4" s="5" t="inlineStr">
        <is>
          <t>Date</t>
        </is>
      </c>
      <c r="C4" s="5" t="inlineStr">
        <is>
          <t>Customer ID</t>
        </is>
      </c>
      <c r="D4" s="5" t="inlineStr">
        <is>
          <t>Customer Name</t>
        </is>
      </c>
      <c r="E4" s="5" t="inlineStr">
        <is>
          <t>Partner ID</t>
        </is>
      </c>
      <c r="F4" s="5" t="inlineStr">
        <is>
          <t>Partner Name</t>
        </is>
      </c>
      <c r="G4" s="5" t="inlineStr">
        <is>
          <t>Submitted By (Role)</t>
        </is>
      </c>
      <c r="H4" s="5" t="inlineStr">
        <is>
          <t>Feedback Type</t>
        </is>
      </c>
      <c r="I4" s="5" t="inlineStr">
        <is>
          <t>Impact Area</t>
        </is>
      </c>
      <c r="J4" s="5" t="inlineStr">
        <is>
          <t>Rating (1-10)</t>
        </is>
      </c>
      <c r="K4" s="5" t="inlineStr">
        <is>
          <t>Verbatim Quote</t>
        </is>
      </c>
    </row>
    <row r="5" ht="23.25" customHeight="1">
      <c r="A5" s="20" t="inlineStr">
        <is>
          <t>FB-001</t>
        </is>
      </c>
      <c r="B5" s="21" t="n">
        <v>44945</v>
      </c>
      <c r="C5" s="20" t="inlineStr">
        <is>
          <t>C001</t>
        </is>
      </c>
      <c r="D5" s="20" t="inlineStr">
        <is>
          <t>Meridian Healthcare</t>
        </is>
      </c>
      <c r="E5" s="20" t="inlineStr">
        <is>
          <t>P009</t>
        </is>
      </c>
      <c r="F5" s="20" t="inlineStr">
        <is>
          <t>Northstar Advisory</t>
        </is>
      </c>
      <c r="G5" s="20" t="inlineStr">
        <is>
          <t>Account Executive</t>
        </is>
      </c>
      <c r="H5" s="20" t="inlineStr">
        <is>
          <t>Named Call-Out</t>
        </is>
      </c>
      <c r="I5" s="20" t="inlineStr">
        <is>
          <t>Churn Prevention</t>
        </is>
      </c>
      <c r="J5" s="34" t="n">
        <v>10</v>
      </c>
      <c r="K5" s="20" t="inlineStr">
        <is>
          <t>Northstar's team caught the adoption dip before we did — saved the renewal</t>
        </is>
      </c>
    </row>
    <row r="6" ht="23.25" customHeight="1">
      <c r="A6" s="24" t="inlineStr">
        <is>
          <t>FB-002</t>
        </is>
      </c>
      <c r="B6" s="25" t="n">
        <v>44971</v>
      </c>
      <c r="C6" s="24" t="inlineStr">
        <is>
          <t>C001</t>
        </is>
      </c>
      <c r="D6" s="24" t="inlineStr">
        <is>
          <t>Meridian Healthcare</t>
        </is>
      </c>
      <c r="E6" s="24" t="inlineStr">
        <is>
          <t>P009</t>
        </is>
      </c>
      <c r="F6" s="24" t="inlineStr">
        <is>
          <t>Northstar Advisory</t>
        </is>
      </c>
      <c r="G6" s="24" t="inlineStr">
        <is>
          <t>Customer Success Manager</t>
        </is>
      </c>
      <c r="H6" s="24" t="inlineStr">
        <is>
          <t>Quarterly Review Mention</t>
        </is>
      </c>
      <c r="I6" s="24" t="inlineStr">
        <is>
          <t>Adoption Acceleration</t>
        </is>
      </c>
      <c r="J6" s="35" t="n">
        <v>9</v>
      </c>
      <c r="K6" s="24" t="inlineStr">
        <is>
          <t>Client PM specifically asked for Northstar on their next phase</t>
        </is>
      </c>
    </row>
    <row r="7" ht="23.25" customHeight="1">
      <c r="A7" s="20" t="inlineStr">
        <is>
          <t>FB-003</t>
        </is>
      </c>
      <c r="B7" s="21" t="n">
        <v>44994</v>
      </c>
      <c r="C7" s="20" t="inlineStr">
        <is>
          <t>C001</t>
        </is>
      </c>
      <c r="D7" s="20" t="inlineStr">
        <is>
          <t>Meridian Healthcare</t>
        </is>
      </c>
      <c r="E7" s="20" t="inlineStr">
        <is>
          <t>P009</t>
        </is>
      </c>
      <c r="F7" s="20" t="inlineStr">
        <is>
          <t>Northstar Advisory</t>
        </is>
      </c>
      <c r="G7" s="20" t="inlineStr">
        <is>
          <t>Head of CS</t>
        </is>
      </c>
      <c r="H7" s="20" t="inlineStr">
        <is>
          <t>Executive Praise</t>
        </is>
      </c>
      <c r="I7" s="20" t="inlineStr">
        <is>
          <t>Stakeholder Alignment</t>
        </is>
      </c>
      <c r="J7" s="34" t="n">
        <v>10</v>
      </c>
      <c r="K7" s="20" t="inlineStr">
        <is>
          <t>Best partner we work with. They don't source deals but they save accounts</t>
        </is>
      </c>
    </row>
    <row r="8" ht="15" customHeight="1">
      <c r="A8" s="24" t="inlineStr">
        <is>
          <t>FB-004</t>
        </is>
      </c>
      <c r="B8" s="25" t="n">
        <v>45019</v>
      </c>
      <c r="C8" s="24" t="inlineStr">
        <is>
          <t>C004</t>
        </is>
      </c>
      <c r="D8" s="24" t="inlineStr">
        <is>
          <t>Orion Manufacturing</t>
        </is>
      </c>
      <c r="E8" s="24" t="inlineStr">
        <is>
          <t>P009</t>
        </is>
      </c>
      <c r="F8" s="24" t="inlineStr">
        <is>
          <t>Northstar Advisory</t>
        </is>
      </c>
      <c r="G8" s="24" t="inlineStr">
        <is>
          <t>Account Executive</t>
        </is>
      </c>
      <c r="H8" s="24" t="inlineStr">
        <is>
          <t>Renewal Attribution</t>
        </is>
      </c>
      <c r="I8" s="24" t="inlineStr">
        <is>
          <t>Churn Prevention</t>
        </is>
      </c>
      <c r="J8" s="35" t="n">
        <v>10</v>
      </c>
      <c r="K8" s="24" t="inlineStr">
        <is>
          <t>Would have lost this account without Northstar's intervention in Q3</t>
        </is>
      </c>
    </row>
    <row r="9" ht="23.25" customHeight="1">
      <c r="A9" s="20" t="inlineStr">
        <is>
          <t>FB-005</t>
        </is>
      </c>
      <c r="B9" s="21" t="n">
        <v>45044</v>
      </c>
      <c r="C9" s="20" t="inlineStr">
        <is>
          <t>C004</t>
        </is>
      </c>
      <c r="D9" s="20" t="inlineStr">
        <is>
          <t>Orion Manufacturing</t>
        </is>
      </c>
      <c r="E9" s="20" t="inlineStr">
        <is>
          <t>P009</t>
        </is>
      </c>
      <c r="F9" s="20" t="inlineStr">
        <is>
          <t>Northstar Advisory</t>
        </is>
      </c>
      <c r="G9" s="20" t="inlineStr">
        <is>
          <t>Support Engineer</t>
        </is>
      </c>
      <c r="H9" s="20" t="inlineStr">
        <is>
          <t>Escalation Save</t>
        </is>
      </c>
      <c r="I9" s="20" t="inlineStr">
        <is>
          <t>Project Recovery</t>
        </is>
      </c>
      <c r="J9" s="34" t="n">
        <v>9</v>
      </c>
      <c r="K9" s="20" t="inlineStr">
        <is>
          <t>Northstar de-escalated the CTO before we even knew there was a problem</t>
        </is>
      </c>
    </row>
    <row r="10" ht="23.25" customHeight="1">
      <c r="A10" s="24" t="inlineStr">
        <is>
          <t>FB-006</t>
        </is>
      </c>
      <c r="B10" s="25" t="n">
        <v>45067</v>
      </c>
      <c r="C10" s="24" t="inlineStr">
        <is>
          <t>C004</t>
        </is>
      </c>
      <c r="D10" s="24" t="inlineStr">
        <is>
          <t>Orion Manufacturing</t>
        </is>
      </c>
      <c r="E10" s="24" t="inlineStr">
        <is>
          <t>P009</t>
        </is>
      </c>
      <c r="F10" s="24" t="inlineStr">
        <is>
          <t>Northstar Advisory</t>
        </is>
      </c>
      <c r="G10" s="24" t="inlineStr">
        <is>
          <t>Customer Success Manager</t>
        </is>
      </c>
      <c r="H10" s="24" t="inlineStr">
        <is>
          <t>Named Call-Out</t>
        </is>
      </c>
      <c r="I10" s="24" t="inlineStr">
        <is>
          <t>User Engagement</t>
        </is>
      </c>
      <c r="J10" s="35" t="n">
        <v>10</v>
      </c>
      <c r="K10" s="24" t="inlineStr">
        <is>
          <t>Northstar runs the steering committee — they keep the customer aligned with our roadmap</t>
        </is>
      </c>
    </row>
    <row r="11" ht="23.25" customHeight="1">
      <c r="A11" s="20" t="inlineStr">
        <is>
          <t>FB-007</t>
        </is>
      </c>
      <c r="B11" s="21" t="n">
        <v>45095</v>
      </c>
      <c r="C11" s="20" t="inlineStr">
        <is>
          <t>C007</t>
        </is>
      </c>
      <c r="D11" s="20" t="inlineStr">
        <is>
          <t>Forge Industries</t>
        </is>
      </c>
      <c r="E11" s="20" t="inlineStr">
        <is>
          <t>P009</t>
        </is>
      </c>
      <c r="F11" s="20" t="inlineStr">
        <is>
          <t>Northstar Advisory</t>
        </is>
      </c>
      <c r="G11" s="20" t="inlineStr">
        <is>
          <t>VP Sales</t>
        </is>
      </c>
      <c r="H11" s="20" t="inlineStr">
        <is>
          <t>Executive Praise</t>
        </is>
      </c>
      <c r="I11" s="20" t="inlineStr">
        <is>
          <t>Executive Relationship</t>
        </is>
      </c>
      <c r="J11" s="34" t="n">
        <v>10</v>
      </c>
      <c r="K11" s="20" t="inlineStr">
        <is>
          <t>Their lead consultant has a direct line to Forge's CEO. That relationship holds this account</t>
        </is>
      </c>
    </row>
    <row r="12" ht="23.25" customHeight="1">
      <c r="A12" s="24" t="inlineStr">
        <is>
          <t>FB-008</t>
        </is>
      </c>
      <c r="B12" s="25" t="n">
        <v>45123</v>
      </c>
      <c r="C12" s="24" t="inlineStr">
        <is>
          <t>C007</t>
        </is>
      </c>
      <c r="D12" s="24" t="inlineStr">
        <is>
          <t>Forge Industries</t>
        </is>
      </c>
      <c r="E12" s="24" t="inlineStr">
        <is>
          <t>P009</t>
        </is>
      </c>
      <c r="F12" s="24" t="inlineStr">
        <is>
          <t>Northstar Advisory</t>
        </is>
      </c>
      <c r="G12" s="24" t="inlineStr">
        <is>
          <t>Renewal Manager</t>
        </is>
      </c>
      <c r="H12" s="24" t="inlineStr">
        <is>
          <t>Renewal Attribution</t>
        </is>
      </c>
      <c r="I12" s="24" t="inlineStr">
        <is>
          <t>Churn Prevention</t>
        </is>
      </c>
      <c r="J12" s="35" t="n">
        <v>9</v>
      </c>
      <c r="K12" s="24" t="inlineStr">
        <is>
          <t>Multi-year renewal signed because Northstar built the business case on the client side</t>
        </is>
      </c>
    </row>
    <row r="13" ht="23.25" customHeight="1">
      <c r="A13" s="20" t="inlineStr">
        <is>
          <t>FB-009</t>
        </is>
      </c>
      <c r="B13" s="21" t="n">
        <v>45149</v>
      </c>
      <c r="C13" s="20" t="inlineStr">
        <is>
          <t>C007</t>
        </is>
      </c>
      <c r="D13" s="20" t="inlineStr">
        <is>
          <t>Forge Industries</t>
        </is>
      </c>
      <c r="E13" s="20" t="inlineStr">
        <is>
          <t>P009</t>
        </is>
      </c>
      <c r="F13" s="20" t="inlineStr">
        <is>
          <t>Northstar Advisory</t>
        </is>
      </c>
      <c r="G13" s="20" t="inlineStr">
        <is>
          <t>Customer Success Manager</t>
        </is>
      </c>
      <c r="H13" s="20" t="inlineStr">
        <is>
          <t>Cross-Team Recommendation</t>
        </is>
      </c>
      <c r="I13" s="20" t="inlineStr">
        <is>
          <t>Change Management</t>
        </is>
      </c>
      <c r="J13" s="34" t="n">
        <v>9</v>
      </c>
      <c r="K13" s="20" t="inlineStr">
        <is>
          <t>I recommend Northstar for every enterprise account. They do the work we can't</t>
        </is>
      </c>
    </row>
    <row r="14" ht="23.25" customHeight="1">
      <c r="A14" s="24" t="inlineStr">
        <is>
          <t>FB-010</t>
        </is>
      </c>
      <c r="B14" s="25" t="n">
        <v>45175</v>
      </c>
      <c r="C14" s="24" t="inlineStr">
        <is>
          <t>C011</t>
        </is>
      </c>
      <c r="D14" s="24" t="inlineStr">
        <is>
          <t>Horizon Pharma</t>
        </is>
      </c>
      <c r="E14" s="24" t="inlineStr">
        <is>
          <t>P009</t>
        </is>
      </c>
      <c r="F14" s="24" t="inlineStr">
        <is>
          <t>Northstar Advisory</t>
        </is>
      </c>
      <c r="G14" s="24" t="inlineStr">
        <is>
          <t>Account Executive</t>
        </is>
      </c>
      <c r="H14" s="24" t="inlineStr">
        <is>
          <t>Named Call-Out</t>
        </is>
      </c>
      <c r="I14" s="24" t="inlineStr">
        <is>
          <t>Adoption Acceleration</t>
        </is>
      </c>
      <c r="J14" s="35" t="n">
        <v>10</v>
      </c>
      <c r="K14" s="24" t="inlineStr">
        <is>
          <t>Northstar drove 95% adoption in 6 months — fastest in our pharma vertical</t>
        </is>
      </c>
    </row>
    <row r="15" ht="23.25" customHeight="1">
      <c r="A15" s="20" t="inlineStr">
        <is>
          <t>FB-011</t>
        </is>
      </c>
      <c r="B15" s="21" t="n">
        <v>45194</v>
      </c>
      <c r="C15" s="20" t="inlineStr">
        <is>
          <t>C011</t>
        </is>
      </c>
      <c r="D15" s="20" t="inlineStr">
        <is>
          <t>Horizon Pharma</t>
        </is>
      </c>
      <c r="E15" s="20" t="inlineStr">
        <is>
          <t>P009</t>
        </is>
      </c>
      <c r="F15" s="20" t="inlineStr">
        <is>
          <t>Northstar Advisory</t>
        </is>
      </c>
      <c r="G15" s="20" t="inlineStr">
        <is>
          <t>Solutions Architect</t>
        </is>
      </c>
      <c r="H15" s="20" t="inlineStr">
        <is>
          <t>Quarterly Review Mention</t>
        </is>
      </c>
      <c r="I15" s="20" t="inlineStr">
        <is>
          <t>Process Optimization</t>
        </is>
      </c>
      <c r="J15" s="34" t="n">
        <v>9</v>
      </c>
      <c r="K15" s="20" t="inlineStr">
        <is>
          <t>They redesigned the client's workflow around our product. Adoption numbers speak for themselves</t>
        </is>
      </c>
    </row>
    <row r="16" ht="15" customHeight="1">
      <c r="A16" s="24" t="inlineStr">
        <is>
          <t>FB-012</t>
        </is>
      </c>
      <c r="B16" s="25" t="n">
        <v>45218</v>
      </c>
      <c r="C16" s="24" t="inlineStr">
        <is>
          <t>C011</t>
        </is>
      </c>
      <c r="D16" s="24" t="inlineStr">
        <is>
          <t>Horizon Pharma</t>
        </is>
      </c>
      <c r="E16" s="24" t="inlineStr">
        <is>
          <t>P009</t>
        </is>
      </c>
      <c r="F16" s="24" t="inlineStr">
        <is>
          <t>Northstar Advisory</t>
        </is>
      </c>
      <c r="G16" s="24" t="inlineStr">
        <is>
          <t>Head of CS</t>
        </is>
      </c>
      <c r="H16" s="24" t="inlineStr">
        <is>
          <t>Executive Praise</t>
        </is>
      </c>
      <c r="I16" s="24" t="inlineStr">
        <is>
          <t>Stakeholder Alignment</t>
        </is>
      </c>
      <c r="J16" s="35" t="n">
        <v>10</v>
      </c>
      <c r="K16" s="24" t="inlineStr">
        <is>
          <t>Northstar is the reason Horizon Pharma is a reference customer</t>
        </is>
      </c>
    </row>
    <row r="17" ht="15" customHeight="1">
      <c r="A17" s="20" t="inlineStr">
        <is>
          <t>FB-013</t>
        </is>
      </c>
      <c r="B17" s="21" t="n">
        <v>44958</v>
      </c>
      <c r="C17" s="20" t="inlineStr">
        <is>
          <t>C001</t>
        </is>
      </c>
      <c r="D17" s="20" t="inlineStr">
        <is>
          <t>Meridian Healthcare</t>
        </is>
      </c>
      <c r="E17" s="20" t="inlineStr">
        <is>
          <t>P001</t>
        </is>
      </c>
      <c r="F17" s="20" t="inlineStr">
        <is>
          <t>Apex Consulting</t>
        </is>
      </c>
      <c r="G17" s="20" t="inlineStr">
        <is>
          <t>Account Executive</t>
        </is>
      </c>
      <c r="H17" s="20" t="inlineStr">
        <is>
          <t>Named Call-Out</t>
        </is>
      </c>
      <c r="I17" s="20" t="inlineStr">
        <is>
          <t>Stakeholder Alignment</t>
        </is>
      </c>
      <c r="J17" s="34" t="n">
        <v>8</v>
      </c>
      <c r="K17" s="20" t="inlineStr">
        <is>
          <t>Apex made the intro that started everything</t>
        </is>
      </c>
    </row>
    <row r="18" ht="15" customHeight="1">
      <c r="A18" s="24" t="inlineStr">
        <is>
          <t>FB-014</t>
        </is>
      </c>
      <c r="B18" s="25" t="n">
        <v>44996</v>
      </c>
      <c r="C18" s="24" t="inlineStr">
        <is>
          <t>C009</t>
        </is>
      </c>
      <c r="D18" s="24" t="inlineStr">
        <is>
          <t>Summit Energy</t>
        </is>
      </c>
      <c r="E18" s="24" t="inlineStr">
        <is>
          <t>P001</t>
        </is>
      </c>
      <c r="F18" s="24" t="inlineStr">
        <is>
          <t>Apex Consulting</t>
        </is>
      </c>
      <c r="G18" s="24" t="inlineStr">
        <is>
          <t>VP Sales</t>
        </is>
      </c>
      <c r="H18" s="24" t="inlineStr">
        <is>
          <t>Executive Praise</t>
        </is>
      </c>
      <c r="I18" s="24" t="inlineStr">
        <is>
          <t>Executive Relationship</t>
        </is>
      </c>
      <c r="J18" s="35" t="n">
        <v>9</v>
      </c>
      <c r="K18" s="24" t="inlineStr">
        <is>
          <t>Apex has deep trust with Summit's board</t>
        </is>
      </c>
    </row>
    <row r="19" ht="15" customHeight="1">
      <c r="A19" s="20" t="inlineStr">
        <is>
          <t>FB-015</t>
        </is>
      </c>
      <c r="B19" s="21" t="n">
        <v>45018</v>
      </c>
      <c r="C19" s="20" t="inlineStr">
        <is>
          <t>C002</t>
        </is>
      </c>
      <c r="D19" s="20" t="inlineStr">
        <is>
          <t>Atlas Financial</t>
        </is>
      </c>
      <c r="E19" s="20" t="inlineStr">
        <is>
          <t>P003</t>
        </is>
      </c>
      <c r="F19" s="20" t="inlineStr">
        <is>
          <t>DataForce Services</t>
        </is>
      </c>
      <c r="G19" s="20" t="inlineStr">
        <is>
          <t>Solutions Architect</t>
        </is>
      </c>
      <c r="H19" s="20" t="inlineStr">
        <is>
          <t>Quarterly Review Mention</t>
        </is>
      </c>
      <c r="I19" s="20" t="inlineStr">
        <is>
          <t>Project Recovery</t>
        </is>
      </c>
      <c r="J19" s="34" t="n">
        <v>7</v>
      </c>
      <c r="K19" s="20" t="inlineStr">
        <is>
          <t>Solid implementation work from DataForce</t>
        </is>
      </c>
    </row>
    <row r="20" ht="23.25" customHeight="1">
      <c r="A20" s="24" t="inlineStr">
        <is>
          <t>FB-016</t>
        </is>
      </c>
      <c r="B20" s="25" t="n">
        <v>45063</v>
      </c>
      <c r="C20" s="24" t="inlineStr">
        <is>
          <t>C004</t>
        </is>
      </c>
      <c r="D20" s="24" t="inlineStr">
        <is>
          <t>Orion Manufacturing</t>
        </is>
      </c>
      <c r="E20" s="24" t="inlineStr">
        <is>
          <t>P003</t>
        </is>
      </c>
      <c r="F20" s="24" t="inlineStr">
        <is>
          <t>DataForce Services</t>
        </is>
      </c>
      <c r="G20" s="24" t="inlineStr">
        <is>
          <t>Customer Success Manager</t>
        </is>
      </c>
      <c r="H20" s="24" t="inlineStr">
        <is>
          <t>Named Call-Out</t>
        </is>
      </c>
      <c r="I20" s="24" t="inlineStr">
        <is>
          <t>Adoption Acceleration</t>
        </is>
      </c>
      <c r="J20" s="35" t="n">
        <v>7</v>
      </c>
      <c r="K20" s="24" t="inlineStr">
        <is>
          <t>Good implementation but they hand off too quickly</t>
        </is>
      </c>
    </row>
    <row r="21" ht="15" customHeight="1">
      <c r="A21" s="20" t="inlineStr">
        <is>
          <t>FB-017</t>
        </is>
      </c>
      <c r="B21" s="21" t="n">
        <v>45083</v>
      </c>
      <c r="C21" s="20" t="inlineStr">
        <is>
          <t>C002</t>
        </is>
      </c>
      <c r="D21" s="20" t="inlineStr">
        <is>
          <t>Atlas Financial</t>
        </is>
      </c>
      <c r="E21" s="20" t="inlineStr">
        <is>
          <t>P011</t>
        </is>
      </c>
      <c r="F21" s="20" t="inlineStr">
        <is>
          <t>TrueNorth Advisory</t>
        </is>
      </c>
      <c r="G21" s="20" t="inlineStr">
        <is>
          <t>Account Executive</t>
        </is>
      </c>
      <c r="H21" s="20" t="inlineStr">
        <is>
          <t>Named Call-Out</t>
        </is>
      </c>
      <c r="I21" s="20" t="inlineStr">
        <is>
          <t>Stakeholder Alignment</t>
        </is>
      </c>
      <c r="J21" s="34" t="n">
        <v>8</v>
      </c>
      <c r="K21" s="20" t="inlineStr">
        <is>
          <t>TrueNorth's referral was well-qualified</t>
        </is>
      </c>
    </row>
    <row r="22" ht="15" customHeight="1">
      <c r="A22" s="24" t="inlineStr">
        <is>
          <t>FB-018</t>
        </is>
      </c>
      <c r="B22" s="25" t="n">
        <v>45114</v>
      </c>
      <c r="C22" s="24" t="inlineStr">
        <is>
          <t>C011</t>
        </is>
      </c>
      <c r="D22" s="24" t="inlineStr">
        <is>
          <t>Horizon Pharma</t>
        </is>
      </c>
      <c r="E22" s="24" t="inlineStr">
        <is>
          <t>P011</t>
        </is>
      </c>
      <c r="F22" s="24" t="inlineStr">
        <is>
          <t>TrueNorth Advisory</t>
        </is>
      </c>
      <c r="G22" s="24" t="inlineStr">
        <is>
          <t>Renewal Manager</t>
        </is>
      </c>
      <c r="H22" s="24" t="inlineStr">
        <is>
          <t>Renewal Attribution</t>
        </is>
      </c>
      <c r="I22" s="24" t="inlineStr">
        <is>
          <t>Executive Relationship</t>
        </is>
      </c>
      <c r="J22" s="35" t="n">
        <v>8</v>
      </c>
      <c r="K22" s="24" t="inlineStr">
        <is>
          <t>TrueNorth stays engaged — better than most referral partners</t>
        </is>
      </c>
    </row>
    <row r="23" ht="23.25" customHeight="1">
      <c r="A23" s="20" t="inlineStr">
        <is>
          <t>FB-019</t>
        </is>
      </c>
      <c r="B23" s="21" t="n">
        <v>45150</v>
      </c>
      <c r="C23" s="20" t="inlineStr">
        <is>
          <t>C003</t>
        </is>
      </c>
      <c r="D23" s="20" t="inlineStr">
        <is>
          <t>Pinnacle Retail</t>
        </is>
      </c>
      <c r="E23" s="20" t="inlineStr">
        <is>
          <t>P007</t>
        </is>
      </c>
      <c r="F23" s="20" t="inlineStr">
        <is>
          <t>PrimeAdvisory Group</t>
        </is>
      </c>
      <c r="G23" s="20" t="inlineStr">
        <is>
          <t>Customer Success Manager</t>
        </is>
      </c>
      <c r="H23" s="20" t="inlineStr">
        <is>
          <t>Quarterly Review Mention</t>
        </is>
      </c>
      <c r="I23" s="20" t="inlineStr">
        <is>
          <t>Stakeholder Alignment</t>
        </is>
      </c>
      <c r="J23" s="34" t="n">
        <v>4</v>
      </c>
      <c r="K23" s="20" t="inlineStr">
        <is>
          <t>P007 brought the deal but hasn't been seen since</t>
        </is>
      </c>
    </row>
    <row r="24" ht="15" customHeight="1">
      <c r="A24" s="24" t="inlineStr">
        <is>
          <t>FB-020</t>
        </is>
      </c>
      <c r="B24" s="25" t="n">
        <v>45173</v>
      </c>
      <c r="C24" s="24" t="inlineStr">
        <is>
          <t>C008</t>
        </is>
      </c>
      <c r="D24" s="24" t="inlineStr">
        <is>
          <t>Crestline Media</t>
        </is>
      </c>
      <c r="E24" s="24" t="inlineStr">
        <is>
          <t>P007</t>
        </is>
      </c>
      <c r="F24" s="24" t="inlineStr">
        <is>
          <t>PrimeAdvisory Group</t>
        </is>
      </c>
      <c r="G24" s="24" t="inlineStr">
        <is>
          <t>Support Engineer</t>
        </is>
      </c>
      <c r="H24" s="24" t="inlineStr">
        <is>
          <t>Escalation Save</t>
        </is>
      </c>
      <c r="I24" s="24" t="inlineStr">
        <is>
          <t>Project Recovery</t>
        </is>
      </c>
      <c r="J24" s="35" t="n">
        <v>3</v>
      </c>
      <c r="K24" s="24" t="inlineStr">
        <is>
          <t>Tried to involve P007 in escalation — no response</t>
        </is>
      </c>
    </row>
    <row r="25" ht="23.25" customHeight="1">
      <c r="A25" s="20" t="inlineStr">
        <is>
          <t>FB-021</t>
        </is>
      </c>
      <c r="B25" s="21" t="n">
        <v>45208</v>
      </c>
      <c r="C25" s="20" t="inlineStr">
        <is>
          <t>C012</t>
        </is>
      </c>
      <c r="D25" s="20" t="inlineStr">
        <is>
          <t>Keystone Bank</t>
        </is>
      </c>
      <c r="E25" s="20" t="inlineStr">
        <is>
          <t>P007</t>
        </is>
      </c>
      <c r="F25" s="20" t="inlineStr">
        <is>
          <t>PrimeAdvisory Group</t>
        </is>
      </c>
      <c r="G25" s="20" t="inlineStr">
        <is>
          <t>Head of CS</t>
        </is>
      </c>
      <c r="H25" s="20" t="inlineStr">
        <is>
          <t>Executive Praise</t>
        </is>
      </c>
      <c r="I25" s="20" t="inlineStr">
        <is>
          <t>Churn Prevention</t>
        </is>
      </c>
      <c r="J25" s="34" t="n">
        <v>2</v>
      </c>
      <c r="K25" s="20" t="inlineStr">
        <is>
          <t>P007 was absent throughout. This account churned and they bear responsibility</t>
        </is>
      </c>
    </row>
    <row r="27" ht="15" customHeight="1">
      <c r="A27" s="91" t="inlineStr">
        <is>
          <t>Reputation Summary by Partner</t>
        </is>
      </c>
    </row>
    <row r="28" ht="26.25" customHeight="1">
      <c r="A28" s="5" t="inlineStr">
        <is>
          <t>Partner ID</t>
        </is>
      </c>
      <c r="B28" s="5" t="inlineStr">
        <is>
          <t>Partner Name</t>
        </is>
      </c>
      <c r="C28" s="5" t="inlineStr">
        <is>
          <t>Feedback Count</t>
        </is>
      </c>
      <c r="D28" s="5" t="inlineStr">
        <is>
          <t>Avg Rating</t>
        </is>
      </c>
      <c r="E28" s="5" t="inlineStr">
        <is>
          <t>Call-Outs</t>
        </is>
      </c>
      <c r="F28" s="5" t="inlineStr">
        <is>
          <t>Exec Praise</t>
        </is>
      </c>
      <c r="G28" s="5" t="inlineStr">
        <is>
          <t>Churn Saves</t>
        </is>
      </c>
      <c r="H28" s="5" t="inlineStr">
        <is>
          <t>Reputation Score</t>
        </is>
      </c>
    </row>
    <row r="29" ht="15" customHeight="1">
      <c r="A29" s="98" t="inlineStr">
        <is>
          <t>P009</t>
        </is>
      </c>
      <c r="B29" s="98" t="inlineStr">
        <is>
          <t>Northstar Advisory</t>
        </is>
      </c>
      <c r="C29" s="9">
        <f>COUNTIF(E$5:E$25,A29)</f>
        <v/>
      </c>
      <c r="D29" s="44">
        <f>IFERROR(AVERAGEIF(E$5:E$25,A29,J$5:J$25),0)</f>
        <v/>
      </c>
      <c r="E29" s="9">
        <f>COUNTIFS(E$5:E$25,A29,H$5:H$25,"Named Call-Out")</f>
        <v/>
      </c>
      <c r="F29" s="9">
        <f>COUNTIFS(E$5:E$25,A29,H$5:H$25,"Executive Praise")</f>
        <v/>
      </c>
      <c r="G29" s="9">
        <f>COUNTIFS(E$5:E$25,A29,I$5:I$25,"Churn Prevention")+COUNTIFS(E$5:E$25,A29,H$5:H$25,"Escalation Save")</f>
        <v/>
      </c>
      <c r="H29" s="54">
        <f>C29*D29</f>
        <v/>
      </c>
    </row>
    <row r="30" ht="15" customHeight="1">
      <c r="A30" s="98" t="inlineStr">
        <is>
          <t>P001</t>
        </is>
      </c>
      <c r="B30" s="98" t="inlineStr">
        <is>
          <t>Apex Consulting</t>
        </is>
      </c>
      <c r="C30" s="9">
        <f>COUNTIF(E$5:E$25,A30)</f>
        <v/>
      </c>
      <c r="D30" s="44">
        <f>IFERROR(AVERAGEIF(E$5:E$25,A30,J$5:J$25),0)</f>
        <v/>
      </c>
      <c r="E30" s="9">
        <f>COUNTIFS(E$5:E$25,A30,H$5:H$25,"Named Call-Out")</f>
        <v/>
      </c>
      <c r="F30" s="9">
        <f>COUNTIFS(E$5:E$25,A30,H$5:H$25,"Executive Praise")</f>
        <v/>
      </c>
      <c r="G30" s="9">
        <f>COUNTIFS(E$5:E$25,A30,I$5:I$25,"Churn Prevention")+COUNTIFS(E$5:E$25,A30,H$5:H$25,"Escalation Save")</f>
        <v/>
      </c>
      <c r="H30" s="54">
        <f>C30*D30</f>
        <v/>
      </c>
    </row>
    <row r="31" ht="15" customHeight="1">
      <c r="A31" s="98" t="inlineStr">
        <is>
          <t>P003</t>
        </is>
      </c>
      <c r="B31" s="98" t="inlineStr">
        <is>
          <t>DataForce Services</t>
        </is>
      </c>
      <c r="C31" s="9">
        <f>COUNTIF(E$5:E$25,A31)</f>
        <v/>
      </c>
      <c r="D31" s="44">
        <f>IFERROR(AVERAGEIF(E$5:E$25,A31,J$5:J$25),0)</f>
        <v/>
      </c>
      <c r="E31" s="9">
        <f>COUNTIFS(E$5:E$25,A31,H$5:H$25,"Named Call-Out")</f>
        <v/>
      </c>
      <c r="F31" s="9">
        <f>COUNTIFS(E$5:E$25,A31,H$5:H$25,"Executive Praise")</f>
        <v/>
      </c>
      <c r="G31" s="9">
        <f>COUNTIFS(E$5:E$25,A31,I$5:I$25,"Churn Prevention")+COUNTIFS(E$5:E$25,A31,H$5:H$25,"Escalation Save")</f>
        <v/>
      </c>
      <c r="H31" s="54">
        <f>C31*D31</f>
        <v/>
      </c>
    </row>
    <row r="32" ht="15" customHeight="1">
      <c r="A32" s="98" t="inlineStr">
        <is>
          <t>P011</t>
        </is>
      </c>
      <c r="B32" s="98" t="inlineStr">
        <is>
          <t>TrueNorth Advisory</t>
        </is>
      </c>
      <c r="C32" s="9">
        <f>COUNTIF(E$5:E$25,A32)</f>
        <v/>
      </c>
      <c r="D32" s="44">
        <f>IFERROR(AVERAGEIF(E$5:E$25,A32,J$5:J$25),0)</f>
        <v/>
      </c>
      <c r="E32" s="9">
        <f>COUNTIFS(E$5:E$25,A32,H$5:H$25,"Named Call-Out")</f>
        <v/>
      </c>
      <c r="F32" s="9">
        <f>COUNTIFS(E$5:E$25,A32,H$5:H$25,"Executive Praise")</f>
        <v/>
      </c>
      <c r="G32" s="9">
        <f>COUNTIFS(E$5:E$25,A32,I$5:I$25,"Churn Prevention")+COUNTIFS(E$5:E$25,A32,H$5:H$25,"Escalation Save")</f>
        <v/>
      </c>
      <c r="H32" s="54">
        <f>C32*D32</f>
        <v/>
      </c>
    </row>
    <row r="33" ht="15" customHeight="1">
      <c r="A33" s="98" t="inlineStr">
        <is>
          <t>P007</t>
        </is>
      </c>
      <c r="B33" s="98" t="inlineStr">
        <is>
          <t>PrimeAdvisory Group</t>
        </is>
      </c>
      <c r="C33" s="9">
        <f>COUNTIF(E$5:E$25,A33)</f>
        <v/>
      </c>
      <c r="D33" s="44">
        <f>IFERROR(AVERAGEIF(E$5:E$25,A33,J$5:J$25),0)</f>
        <v/>
      </c>
      <c r="E33" s="9">
        <f>COUNTIFS(E$5:E$25,A33,H$5:H$25,"Named Call-Out")</f>
        <v/>
      </c>
      <c r="F33" s="9">
        <f>COUNTIFS(E$5:E$25,A33,H$5:H$25,"Executive Praise")</f>
        <v/>
      </c>
      <c r="G33" s="9">
        <f>COUNTIFS(E$5:E$25,A33,I$5:I$25,"Churn Prevention")+COUNTIFS(E$5:E$25,A33,H$5:H$25,"Escalation Save")</f>
        <v/>
      </c>
      <c r="H33" s="54">
        <f>C33*D33</f>
        <v/>
      </c>
    </row>
  </sheetData>
  <mergeCells count="3">
    <mergeCell ref="A2:K2"/>
    <mergeCell ref="A27:H27"/>
    <mergeCell ref="A1:K1"/>
  </mergeCells>
  <pageMargins left="0.75" right="0.75" top="1" bottom="1" header="0.511811023622047" footer="0.511811023622047"/>
  <pageSetup orientation="portrait" paperSize="9" horizontalDpi="300" verticalDpi="300"/>
</worksheet>
</file>

<file path=xl/worksheets/sheet11.xml><?xml version="1.0" encoding="utf-8"?>
<worksheet xmlns="http://schemas.openxmlformats.org/spreadsheetml/2006/main">
  <sheetPr>
    <tabColor rgb="FF2D4A7A"/>
    <outlinePr summaryBelow="1" summaryRight="1"/>
    <pageSetUpPr/>
  </sheetPr>
  <dimension ref="A1:I16"/>
  <sheetViews>
    <sheetView zoomScaleNormal="100" workbookViewId="0">
      <selection activeCell="A1" sqref="A1:I1"/>
    </sheetView>
  </sheetViews>
  <sheetFormatPr baseColWidth="8" defaultColWidth="8.7109375" defaultRowHeight="15"/>
  <cols>
    <col width="12" customWidth="1" min="1" max="1"/>
    <col width="22" customWidth="1" min="2" max="2"/>
    <col width="16" customWidth="1" min="3" max="3"/>
    <col width="12" customWidth="1" min="4" max="4"/>
    <col width="14" customWidth="1" min="5" max="5"/>
    <col width="16" customWidth="1" min="6" max="8"/>
    <col width="10" customWidth="1" min="9" max="9"/>
  </cols>
  <sheetData>
    <row r="1" ht="17.25" customHeight="1">
      <c r="A1" s="93" t="inlineStr">
        <is>
          <t>Customer Master Data</t>
        </is>
      </c>
    </row>
    <row r="2" ht="15" customHeight="1">
      <c r="A2" s="94" t="inlineStr">
        <is>
          <t>Blue values are editable inputs.</t>
        </is>
      </c>
    </row>
    <row r="4" ht="26.25" customHeight="1">
      <c r="A4" s="5" t="inlineStr">
        <is>
          <t>Customer ID</t>
        </is>
      </c>
      <c r="B4" s="5" t="inlineStr">
        <is>
          <t>Customer Name</t>
        </is>
      </c>
      <c r="C4" s="5" t="inlineStr">
        <is>
          <t>Industry</t>
        </is>
      </c>
      <c r="D4" s="5" t="inlineStr">
        <is>
          <t>ARR ($)</t>
        </is>
      </c>
      <c r="E4" s="5" t="inlineStr">
        <is>
          <t>Contract Start</t>
        </is>
      </c>
      <c r="F4" s="5" t="inlineStr">
        <is>
          <t>Primary Partner</t>
        </is>
      </c>
      <c r="G4" s="5" t="inlineStr">
        <is>
          <t>Impl. Partner</t>
        </is>
      </c>
      <c r="H4" s="5" t="inlineStr">
        <is>
          <t>Success Partner</t>
        </is>
      </c>
      <c r="I4" s="5" t="inlineStr">
        <is>
          <t>Status</t>
        </is>
      </c>
    </row>
    <row r="5" ht="15" customHeight="1">
      <c r="A5" s="14" t="inlineStr">
        <is>
          <t>C001</t>
        </is>
      </c>
      <c r="B5" s="14" t="inlineStr">
        <is>
          <t>Meridian Healthcare</t>
        </is>
      </c>
      <c r="C5" s="14" t="inlineStr">
        <is>
          <t>Healthcare</t>
        </is>
      </c>
      <c r="D5" s="55" t="n">
        <v>185000</v>
      </c>
      <c r="E5" s="14" t="inlineStr">
        <is>
          <t>2022-03-15</t>
        </is>
      </c>
      <c r="F5" s="14" t="inlineStr">
        <is>
          <t>P001</t>
        </is>
      </c>
      <c r="G5" s="14" t="inlineStr">
        <is>
          <t>P003</t>
        </is>
      </c>
      <c r="H5" s="14" t="inlineStr">
        <is>
          <t>P009</t>
        </is>
      </c>
      <c r="I5" s="14" t="inlineStr">
        <is>
          <t>Active</t>
        </is>
      </c>
    </row>
    <row r="6" ht="15" customHeight="1">
      <c r="A6" s="17" t="inlineStr">
        <is>
          <t>C002</t>
        </is>
      </c>
      <c r="B6" s="17" t="inlineStr">
        <is>
          <t>Atlas Financial</t>
        </is>
      </c>
      <c r="C6" s="17" t="inlineStr">
        <is>
          <t>Finance</t>
        </is>
      </c>
      <c r="D6" s="56" t="n">
        <v>420000</v>
      </c>
      <c r="E6" s="17" t="inlineStr">
        <is>
          <t>2021-06-01</t>
        </is>
      </c>
      <c r="F6" s="17" t="inlineStr">
        <is>
          <t>P011</t>
        </is>
      </c>
      <c r="G6" s="17" t="inlineStr">
        <is>
          <t>P003</t>
        </is>
      </c>
      <c r="H6" s="17" t="inlineStr">
        <is>
          <t>P005</t>
        </is>
      </c>
      <c r="I6" s="17" t="inlineStr">
        <is>
          <t>Active</t>
        </is>
      </c>
    </row>
    <row r="7" ht="15" customHeight="1">
      <c r="A7" s="14" t="inlineStr">
        <is>
          <t>C003</t>
        </is>
      </c>
      <c r="B7" s="14" t="inlineStr">
        <is>
          <t>Pinnacle Retail</t>
        </is>
      </c>
      <c r="C7" s="14" t="inlineStr">
        <is>
          <t>Retail</t>
        </is>
      </c>
      <c r="D7" s="55" t="n">
        <v>95000</v>
      </c>
      <c r="E7" s="14" t="inlineStr">
        <is>
          <t>2023-01-10</t>
        </is>
      </c>
      <c r="F7" s="14" t="inlineStr">
        <is>
          <t>P007</t>
        </is>
      </c>
      <c r="G7" s="14" t="inlineStr">
        <is>
          <t>P008</t>
        </is>
      </c>
      <c r="H7" s="14" t="inlineStr">
        <is>
          <t>P006</t>
        </is>
      </c>
      <c r="I7" s="14" t="inlineStr">
        <is>
          <t>Active</t>
        </is>
      </c>
    </row>
    <row r="8" ht="15" customHeight="1">
      <c r="A8" s="17" t="inlineStr">
        <is>
          <t>C004</t>
        </is>
      </c>
      <c r="B8" s="17" t="inlineStr">
        <is>
          <t>Orion Manufacturing</t>
        </is>
      </c>
      <c r="C8" s="17" t="inlineStr">
        <is>
          <t>Manufacturing</t>
        </is>
      </c>
      <c r="D8" s="56" t="n">
        <v>310000</v>
      </c>
      <c r="E8" s="17" t="inlineStr">
        <is>
          <t>2020-09-20</t>
        </is>
      </c>
      <c r="F8" s="17" t="inlineStr">
        <is>
          <t>P001</t>
        </is>
      </c>
      <c r="G8" s="17" t="inlineStr">
        <is>
          <t>P003</t>
        </is>
      </c>
      <c r="H8" s="17" t="inlineStr">
        <is>
          <t>P009</t>
        </is>
      </c>
      <c r="I8" s="17" t="inlineStr">
        <is>
          <t>Active</t>
        </is>
      </c>
    </row>
    <row r="9" ht="15" customHeight="1">
      <c r="A9" s="14" t="inlineStr">
        <is>
          <t>C005</t>
        </is>
      </c>
      <c r="B9" s="14" t="inlineStr">
        <is>
          <t>Zenith Logistics</t>
        </is>
      </c>
      <c r="C9" s="14" t="inlineStr">
        <is>
          <t>Logistics</t>
        </is>
      </c>
      <c r="D9" s="55" t="n">
        <v>145000</v>
      </c>
      <c r="E9" s="14" t="inlineStr">
        <is>
          <t>2022-11-05</t>
        </is>
      </c>
      <c r="F9" s="14" t="inlineStr">
        <is>
          <t>P002</t>
        </is>
      </c>
      <c r="G9" s="14" t="inlineStr">
        <is>
          <t>P008</t>
        </is>
      </c>
      <c r="H9" s="14" t="inlineStr">
        <is>
          <t>P005</t>
        </is>
      </c>
      <c r="I9" s="14" t="inlineStr">
        <is>
          <t>At Risk</t>
        </is>
      </c>
    </row>
    <row r="10" ht="15" customHeight="1">
      <c r="A10" s="17" t="inlineStr">
        <is>
          <t>C006</t>
        </is>
      </c>
      <c r="B10" s="17" t="inlineStr">
        <is>
          <t>Beacon Education</t>
        </is>
      </c>
      <c r="C10" s="17" t="inlineStr">
        <is>
          <t>Education</t>
        </is>
      </c>
      <c r="D10" s="56" t="n">
        <v>72000</v>
      </c>
      <c r="E10" s="17" t="inlineStr">
        <is>
          <t>2023-04-18</t>
        </is>
      </c>
      <c r="F10" s="17" t="inlineStr">
        <is>
          <t>P004</t>
        </is>
      </c>
      <c r="G10" s="17" t="inlineStr">
        <is>
          <t>P006</t>
        </is>
      </c>
      <c r="H10" s="17" t="inlineStr">
        <is>
          <t>P010</t>
        </is>
      </c>
      <c r="I10" s="17" t="inlineStr">
        <is>
          <t>Active</t>
        </is>
      </c>
    </row>
    <row r="11" ht="15" customHeight="1">
      <c r="A11" s="14" t="inlineStr">
        <is>
          <t>C007</t>
        </is>
      </c>
      <c r="B11" s="14" t="inlineStr">
        <is>
          <t>Forge Industries</t>
        </is>
      </c>
      <c r="C11" s="14" t="inlineStr">
        <is>
          <t>Manufacturing</t>
        </is>
      </c>
      <c r="D11" s="55" t="n">
        <v>265000</v>
      </c>
      <c r="E11" s="14" t="inlineStr">
        <is>
          <t>2021-02-14</t>
        </is>
      </c>
      <c r="F11" s="14" t="inlineStr">
        <is>
          <t>P011</t>
        </is>
      </c>
      <c r="G11" s="14" t="inlineStr">
        <is>
          <t>P003</t>
        </is>
      </c>
      <c r="H11" s="14" t="inlineStr">
        <is>
          <t>P009</t>
        </is>
      </c>
      <c r="I11" s="14" t="inlineStr">
        <is>
          <t>Active</t>
        </is>
      </c>
    </row>
    <row r="12" ht="15" customHeight="1">
      <c r="A12" s="17" t="inlineStr">
        <is>
          <t>C008</t>
        </is>
      </c>
      <c r="B12" s="17" t="inlineStr">
        <is>
          <t>Crestline Media</t>
        </is>
      </c>
      <c r="C12" s="17" t="inlineStr">
        <is>
          <t>Media</t>
        </is>
      </c>
      <c r="D12" s="56" t="n">
        <v>118000</v>
      </c>
      <c r="E12" s="17" t="inlineStr">
        <is>
          <t>2022-07-22</t>
        </is>
      </c>
      <c r="F12" s="17" t="inlineStr">
        <is>
          <t>P007</t>
        </is>
      </c>
      <c r="G12" s="17" t="inlineStr">
        <is>
          <t>P008</t>
        </is>
      </c>
      <c r="H12" s="17" t="inlineStr">
        <is>
          <t>P006</t>
        </is>
      </c>
      <c r="I12" s="17" t="inlineStr">
        <is>
          <t>At Risk</t>
        </is>
      </c>
    </row>
    <row r="13" ht="15" customHeight="1">
      <c r="A13" s="14" t="inlineStr">
        <is>
          <t>C009</t>
        </is>
      </c>
      <c r="B13" s="14" t="inlineStr">
        <is>
          <t>Summit Energy</t>
        </is>
      </c>
      <c r="C13" s="14" t="inlineStr">
        <is>
          <t>Energy</t>
        </is>
      </c>
      <c r="D13" s="55" t="n">
        <v>390000</v>
      </c>
      <c r="E13" s="14" t="inlineStr">
        <is>
          <t>2019-11-30</t>
        </is>
      </c>
      <c r="F13" s="14" t="inlineStr">
        <is>
          <t>P001</t>
        </is>
      </c>
      <c r="G13" s="14" t="inlineStr">
        <is>
          <t>P003</t>
        </is>
      </c>
      <c r="H13" s="14" t="inlineStr">
        <is>
          <t>P005</t>
        </is>
      </c>
      <c r="I13" s="14" t="inlineStr">
        <is>
          <t>Active</t>
        </is>
      </c>
    </row>
    <row r="14" ht="15" customHeight="1">
      <c r="A14" s="17" t="inlineStr">
        <is>
          <t>C010</t>
        </is>
      </c>
      <c r="B14" s="17" t="inlineStr">
        <is>
          <t>Vantage Tech</t>
        </is>
      </c>
      <c r="C14" s="17" t="inlineStr">
        <is>
          <t>Technology</t>
        </is>
      </c>
      <c r="D14" s="56" t="n">
        <v>210000</v>
      </c>
      <c r="E14" s="17" t="inlineStr">
        <is>
          <t>2023-08-01</t>
        </is>
      </c>
      <c r="F14" s="17" t="inlineStr">
        <is>
          <t>P002</t>
        </is>
      </c>
      <c r="G14" s="17" t="inlineStr">
        <is>
          <t>P012</t>
        </is>
      </c>
      <c r="H14" s="17" t="inlineStr">
        <is>
          <t>P005</t>
        </is>
      </c>
      <c r="I14" s="17" t="inlineStr">
        <is>
          <t>Active</t>
        </is>
      </c>
    </row>
    <row r="15" ht="15" customHeight="1">
      <c r="A15" s="14" t="inlineStr">
        <is>
          <t>C011</t>
        </is>
      </c>
      <c r="B15" s="14" t="inlineStr">
        <is>
          <t>Horizon Pharma</t>
        </is>
      </c>
      <c r="C15" s="14" t="inlineStr">
        <is>
          <t>Healthcare</t>
        </is>
      </c>
      <c r="D15" s="55" t="n">
        <v>340000</v>
      </c>
      <c r="E15" s="14" t="inlineStr">
        <is>
          <t>2020-05-12</t>
        </is>
      </c>
      <c r="F15" s="14" t="inlineStr">
        <is>
          <t>P011</t>
        </is>
      </c>
      <c r="G15" s="14" t="inlineStr">
        <is>
          <t>P003</t>
        </is>
      </c>
      <c r="H15" s="14" t="inlineStr">
        <is>
          <t>P009</t>
        </is>
      </c>
      <c r="I15" s="14" t="inlineStr">
        <is>
          <t>Active</t>
        </is>
      </c>
    </row>
    <row r="16" ht="15" customHeight="1">
      <c r="A16" s="17" t="inlineStr">
        <is>
          <t>C012</t>
        </is>
      </c>
      <c r="B16" s="17" t="inlineStr">
        <is>
          <t>Keystone Bank</t>
        </is>
      </c>
      <c r="C16" s="17" t="inlineStr">
        <is>
          <t>Finance</t>
        </is>
      </c>
      <c r="D16" s="56" t="n">
        <v>275000</v>
      </c>
      <c r="E16" s="17" t="inlineStr">
        <is>
          <t>2022-01-25</t>
        </is>
      </c>
      <c r="F16" s="17" t="inlineStr">
        <is>
          <t>P007</t>
        </is>
      </c>
      <c r="G16" s="17" t="inlineStr">
        <is>
          <t>P008</t>
        </is>
      </c>
      <c r="H16" s="17" t="inlineStr">
        <is>
          <t>P010</t>
        </is>
      </c>
      <c r="I16" s="17" t="inlineStr">
        <is>
          <t>Churned</t>
        </is>
      </c>
    </row>
  </sheetData>
  <mergeCells count="2">
    <mergeCell ref="A1:I1"/>
    <mergeCell ref="A2:I2"/>
  </mergeCells>
  <pageMargins left="0.75" right="0.75" top="1" bottom="1" header="0.511811023622047" footer="0.511811023622047"/>
  <pageSetup orientation="portrait" paperSize="9" horizontalDpi="300" verticalDpi="300"/>
</worksheet>
</file>

<file path=xl/worksheets/sheet12.xml><?xml version="1.0" encoding="utf-8"?>
<worksheet xmlns="http://schemas.openxmlformats.org/spreadsheetml/2006/main">
  <sheetPr>
    <tabColor rgb="FFF4B942"/>
    <outlinePr summaryBelow="1" summaryRight="1"/>
    <pageSetUpPr/>
  </sheetPr>
  <dimension ref="A1:L25"/>
  <sheetViews>
    <sheetView zoomScaleNormal="100" workbookViewId="0">
      <selection activeCell="A1" sqref="A1:L1"/>
    </sheetView>
  </sheetViews>
  <sheetFormatPr baseColWidth="8" defaultColWidth="8.7109375" defaultRowHeight="15"/>
  <cols>
    <col width="12" customWidth="1" min="1" max="1"/>
    <col width="22" customWidth="1" min="2" max="2"/>
    <col width="14" customWidth="1" min="3" max="3"/>
    <col width="22" customWidth="1" min="4" max="5"/>
    <col width="20" customWidth="1" min="6" max="6"/>
    <col width="12" customWidth="1" min="7" max="7"/>
    <col width="16" customWidth="1" min="8" max="8"/>
    <col width="18" customWidth="1" min="9" max="10"/>
    <col width="12" customWidth="1" min="11" max="11"/>
    <col width="24" customWidth="1" min="12" max="12"/>
  </cols>
  <sheetData>
    <row r="1" ht="17.25" customHeight="1">
      <c r="A1" s="93" t="inlineStr">
        <is>
          <t>Customer Discovery Efficiency (CDE)</t>
        </is>
      </c>
    </row>
    <row r="2" ht="15" customHeight="1">
      <c r="A2" s="94" t="inlineStr">
        <is>
          <t>CDE is a ratio of medians: median discovery weeks of non-partner (direct) won deals ÷ median discovery weeks of the customer's ecosystem-sourced won deals. TTI = a referrer's win rate ÷ the unreferred win rate (conviction, not speed). Customer Outcome Intelligence v1.0 (September 2026) — definitions at https://www.entwineapp.io/metrics. Thin samples are a caveat on the sheet, not a reason to estimate.</t>
        </is>
      </c>
    </row>
    <row r="3" ht="15" customHeight="1">
      <c r="A3" s="57" t="inlineStr">
        <is>
          <t>Baselines →</t>
        </is>
      </c>
      <c r="E3" s="57" t="inlineStr">
        <is>
          <t>Non-partner median weeks:</t>
        </is>
      </c>
      <c r="G3" s="58">
        <f t="array" ref="G3">MEDIAN(IF((Opportunities!D5:D38&lt;&gt;"Partner Referral")*(Opportunities!M5:M38=TRUE),Opportunities!K5:K38))</f>
        <v/>
      </c>
      <c r="H3" s="57" t="inlineStr">
        <is>
          <t>Non-partner win rate:</t>
        </is>
      </c>
      <c r="J3" s="46">
        <f>COUNTIFS(Opportunities!D5:D38,"&lt;&gt;Partner Referral",Opportunities!M5:M38,TRUE())/COUNTIF(Opportunities!D5:D38,"&lt;&gt;Partner Referral")</f>
        <v/>
      </c>
    </row>
    <row r="5" ht="26.25" customHeight="1">
      <c r="A5" s="5" t="inlineStr">
        <is>
          <t>Customer ID</t>
        </is>
      </c>
      <c r="B5" s="5" t="inlineStr">
        <is>
          <t>Customer Name</t>
        </is>
      </c>
      <c r="C5" s="5" t="inlineStr">
        <is>
          <t>Referral Partner</t>
        </is>
      </c>
      <c r="D5" s="5" t="inlineStr">
        <is>
          <t>Partner Name</t>
        </is>
      </c>
      <c r="E5" s="5" t="inlineStr">
        <is>
          <t>Discovery Weeks (median, this customer's won deals)</t>
        </is>
      </c>
      <c r="F5" s="5" t="inlineStr">
        <is>
          <t>Non-Partner Median Weeks</t>
        </is>
      </c>
      <c r="G5" s="5" t="inlineStr">
        <is>
          <t>CDE Ratio</t>
        </is>
      </c>
      <c r="H5" s="5" t="inlineStr">
        <is>
          <t>Partner Win Rate</t>
        </is>
      </c>
      <c r="I5" s="5" t="inlineStr">
        <is>
          <t>Non-Partner Win Rate</t>
        </is>
      </c>
      <c r="J5" s="5" t="inlineStr">
        <is>
          <t>Trust Transfer Index (TTI)</t>
        </is>
      </c>
      <c r="K5" s="5" t="inlineStr">
        <is>
          <t>Weeks Saved</t>
        </is>
      </c>
      <c r="L5" s="5" t="inlineStr">
        <is>
          <t>Business Value Note</t>
        </is>
      </c>
    </row>
    <row r="6" ht="15" customHeight="1">
      <c r="A6" s="24" t="inlineStr">
        <is>
          <t>C001</t>
        </is>
      </c>
      <c r="B6" s="24" t="inlineStr">
        <is>
          <t>Meridian Healthcare</t>
        </is>
      </c>
      <c r="C6" s="24" t="inlineStr">
        <is>
          <t>P001</t>
        </is>
      </c>
      <c r="D6" s="59">
        <f>VLOOKUP(C6,Partners!A5:B16,2,FALSE())</f>
        <v/>
      </c>
      <c r="E6" s="26">
        <f t="array" ref="E6">IFERROR(MEDIAN(IF((Opportunities!B$5:B$38=A6)*(Opportunities!M$5:M$38=TRUE),Opportunities!K$5:K$38)),"")</f>
        <v/>
      </c>
      <c r="F6" s="26">
        <f>$G$3</f>
        <v/>
      </c>
      <c r="G6" s="60">
        <f>IFERROR(F6/E6,"")</f>
        <v/>
      </c>
      <c r="H6" s="52">
        <f>IFERROR(COUNTIFS(Opportunities!E$5:E$38,C6,Opportunities!M$5:M$38,TRUE())/COUNTIF(Opportunities!E$5:E$38,C6),"")</f>
        <v/>
      </c>
      <c r="I6" s="52">
        <f>$J$3</f>
        <v/>
      </c>
      <c r="J6" s="60">
        <f>IFERROR(H6/I6,"")</f>
        <v/>
      </c>
      <c r="K6" s="26">
        <f>IFERROR(F6-E6,0)</f>
        <v/>
      </c>
      <c r="L6" s="59">
        <f>IF(K6&gt;8,"Significant acceleration",IF(K6&gt;4,"Moderate acceleration","Minimal difference"))</f>
        <v/>
      </c>
    </row>
    <row r="7" ht="15" customHeight="1">
      <c r="A7" s="20" t="inlineStr">
        <is>
          <t>C002</t>
        </is>
      </c>
      <c r="B7" s="20" t="inlineStr">
        <is>
          <t>Atlas Financial</t>
        </is>
      </c>
      <c r="C7" s="20" t="inlineStr">
        <is>
          <t>P011</t>
        </is>
      </c>
      <c r="D7" s="61">
        <f>VLOOKUP(C7,Partners!A5:B16,2,FALSE())</f>
        <v/>
      </c>
      <c r="E7" s="22">
        <f t="array" ref="E7">IFERROR(MEDIAN(IF((Opportunities!B$5:B$38=A7)*(Opportunities!M$5:M$38=TRUE),Opportunities!K$5:K$38)),"")</f>
        <v/>
      </c>
      <c r="F7" s="22">
        <f>$G$3</f>
        <v/>
      </c>
      <c r="G7" s="62">
        <f>IFERROR(F7/E7,"")</f>
        <v/>
      </c>
      <c r="H7" s="49">
        <f>IFERROR(COUNTIFS(Opportunities!E$5:E$38,C7,Opportunities!M$5:M$38,TRUE())/COUNTIF(Opportunities!E$5:E$38,C7),"")</f>
        <v/>
      </c>
      <c r="I7" s="49">
        <f>$J$3</f>
        <v/>
      </c>
      <c r="J7" s="62">
        <f>IFERROR(H7/I7,"")</f>
        <v/>
      </c>
      <c r="K7" s="22">
        <f>IFERROR(F7-E7,0)</f>
        <v/>
      </c>
      <c r="L7" s="61">
        <f>IF(K7&gt;8,"Significant acceleration",IF(K7&gt;4,"Moderate acceleration","Minimal difference"))</f>
        <v/>
      </c>
    </row>
    <row r="8" ht="15" customHeight="1">
      <c r="A8" s="24" t="inlineStr">
        <is>
          <t>C003</t>
        </is>
      </c>
      <c r="B8" s="24" t="inlineStr">
        <is>
          <t>Pinnacle Retail</t>
        </is>
      </c>
      <c r="C8" s="24" t="inlineStr">
        <is>
          <t>P007</t>
        </is>
      </c>
      <c r="D8" s="59">
        <f>VLOOKUP(C8,Partners!A5:B16,2,FALSE())</f>
        <v/>
      </c>
      <c r="E8" s="26">
        <f t="array" ref="E8">IFERROR(MEDIAN(IF((Opportunities!B$5:B$38=A8)*(Opportunities!M$5:M$38=TRUE),Opportunities!K$5:K$38)),"")</f>
        <v/>
      </c>
      <c r="F8" s="26">
        <f>$G$3</f>
        <v/>
      </c>
      <c r="G8" s="60">
        <f>IFERROR(F8/E8,"")</f>
        <v/>
      </c>
      <c r="H8" s="52">
        <f>IFERROR(COUNTIFS(Opportunities!E$5:E$38,C8,Opportunities!M$5:M$38,TRUE())/COUNTIF(Opportunities!E$5:E$38,C8),"")</f>
        <v/>
      </c>
      <c r="I8" s="52">
        <f>$J$3</f>
        <v/>
      </c>
      <c r="J8" s="60">
        <f>IFERROR(H8/I8,"")</f>
        <v/>
      </c>
      <c r="K8" s="26">
        <f>IFERROR(F8-E8,0)</f>
        <v/>
      </c>
      <c r="L8" s="59">
        <f>IF(K8&gt;8,"Significant acceleration",IF(K8&gt;4,"Moderate acceleration","Minimal difference"))</f>
        <v/>
      </c>
    </row>
    <row r="9" ht="15" customHeight="1">
      <c r="A9" s="20" t="inlineStr">
        <is>
          <t>C004</t>
        </is>
      </c>
      <c r="B9" s="20" t="inlineStr">
        <is>
          <t>Orion Manufacturing</t>
        </is>
      </c>
      <c r="C9" s="20" t="inlineStr">
        <is>
          <t>P001</t>
        </is>
      </c>
      <c r="D9" s="61">
        <f>VLOOKUP(C9,Partners!A5:B16,2,FALSE())</f>
        <v/>
      </c>
      <c r="E9" s="22">
        <f t="array" ref="E9">IFERROR(MEDIAN(IF((Opportunities!B$5:B$38=A9)*(Opportunities!M$5:M$38=TRUE),Opportunities!K$5:K$38)),"")</f>
        <v/>
      </c>
      <c r="F9" s="22">
        <f>$G$3</f>
        <v/>
      </c>
      <c r="G9" s="62">
        <f>IFERROR(F9/E9,"")</f>
        <v/>
      </c>
      <c r="H9" s="49">
        <f>IFERROR(COUNTIFS(Opportunities!E$5:E$38,C9,Opportunities!M$5:M$38,TRUE())/COUNTIF(Opportunities!E$5:E$38,C9),"")</f>
        <v/>
      </c>
      <c r="I9" s="49">
        <f>$J$3</f>
        <v/>
      </c>
      <c r="J9" s="62">
        <f>IFERROR(H9/I9,"")</f>
        <v/>
      </c>
      <c r="K9" s="22">
        <f>IFERROR(F9-E9,0)</f>
        <v/>
      </c>
      <c r="L9" s="61">
        <f>IF(K9&gt;8,"Significant acceleration",IF(K9&gt;4,"Moderate acceleration","Minimal difference"))</f>
        <v/>
      </c>
    </row>
    <row r="10" ht="15" customHeight="1">
      <c r="A10" s="24" t="inlineStr">
        <is>
          <t>C005</t>
        </is>
      </c>
      <c r="B10" s="24" t="inlineStr">
        <is>
          <t>Zenith Logistics</t>
        </is>
      </c>
      <c r="C10" s="24" t="inlineStr">
        <is>
          <t>P002</t>
        </is>
      </c>
      <c r="D10" s="59">
        <f>VLOOKUP(C10,Partners!A5:B16,2,FALSE())</f>
        <v/>
      </c>
      <c r="E10" s="26">
        <f t="array" ref="E10">IFERROR(MEDIAN(IF((Opportunities!B$5:B$38=A10)*(Opportunities!M$5:M$38=TRUE),Opportunities!K$5:K$38)),"")</f>
        <v/>
      </c>
      <c r="F10" s="26">
        <f>$G$3</f>
        <v/>
      </c>
      <c r="G10" s="60">
        <f>IFERROR(F10/E10,"")</f>
        <v/>
      </c>
      <c r="H10" s="52">
        <f>IFERROR(COUNTIFS(Opportunities!E$5:E$38,C10,Opportunities!M$5:M$38,TRUE())/COUNTIF(Opportunities!E$5:E$38,C10),"")</f>
        <v/>
      </c>
      <c r="I10" s="52">
        <f>$J$3</f>
        <v/>
      </c>
      <c r="J10" s="60">
        <f>IFERROR(H10/I10,"")</f>
        <v/>
      </c>
      <c r="K10" s="26">
        <f>IFERROR(F10-E10,0)</f>
        <v/>
      </c>
      <c r="L10" s="59">
        <f>IF(K10&gt;8,"Significant acceleration",IF(K10&gt;4,"Moderate acceleration","Minimal difference"))</f>
        <v/>
      </c>
    </row>
    <row r="11" ht="15" customHeight="1">
      <c r="A11" s="20" t="inlineStr">
        <is>
          <t>C006</t>
        </is>
      </c>
      <c r="B11" s="20" t="inlineStr">
        <is>
          <t>Beacon Education</t>
        </is>
      </c>
      <c r="C11" s="20" t="inlineStr">
        <is>
          <t>P004</t>
        </is>
      </c>
      <c r="D11" s="61">
        <f>VLOOKUP(C11,Partners!A5:B16,2,FALSE())</f>
        <v/>
      </c>
      <c r="E11" s="22">
        <f t="array" ref="E11">IFERROR(MEDIAN(IF((Opportunities!B$5:B$38=A11)*(Opportunities!M$5:M$38=TRUE),Opportunities!K$5:K$38)),"")</f>
        <v/>
      </c>
      <c r="F11" s="22">
        <f>$G$3</f>
        <v/>
      </c>
      <c r="G11" s="62">
        <f>IFERROR(F11/E11,"")</f>
        <v/>
      </c>
      <c r="H11" s="49">
        <f>IFERROR(COUNTIFS(Opportunities!E$5:E$38,C11,Opportunities!M$5:M$38,TRUE())/COUNTIF(Opportunities!E$5:E$38,C11),"")</f>
        <v/>
      </c>
      <c r="I11" s="49">
        <f>$J$3</f>
        <v/>
      </c>
      <c r="J11" s="62">
        <f>IFERROR(H11/I11,"")</f>
        <v/>
      </c>
      <c r="K11" s="22">
        <f>IFERROR(F11-E11,0)</f>
        <v/>
      </c>
      <c r="L11" s="61">
        <f>IF(K11&gt;8,"Significant acceleration",IF(K11&gt;4,"Moderate acceleration","Minimal difference"))</f>
        <v/>
      </c>
    </row>
    <row r="12" ht="15" customHeight="1">
      <c r="A12" s="24" t="inlineStr">
        <is>
          <t>C007</t>
        </is>
      </c>
      <c r="B12" s="24" t="inlineStr">
        <is>
          <t>Forge Industries</t>
        </is>
      </c>
      <c r="C12" s="24" t="inlineStr">
        <is>
          <t>P011</t>
        </is>
      </c>
      <c r="D12" s="59">
        <f>VLOOKUP(C12,Partners!A5:B16,2,FALSE())</f>
        <v/>
      </c>
      <c r="E12" s="26">
        <f t="array" ref="E12">IFERROR(MEDIAN(IF((Opportunities!B$5:B$38=A12)*(Opportunities!M$5:M$38=TRUE),Opportunities!K$5:K$38)),"")</f>
        <v/>
      </c>
      <c r="F12" s="26">
        <f>$G$3</f>
        <v/>
      </c>
      <c r="G12" s="60">
        <f>IFERROR(F12/E12,"")</f>
        <v/>
      </c>
      <c r="H12" s="52">
        <f>IFERROR(COUNTIFS(Opportunities!E$5:E$38,C12,Opportunities!M$5:M$38,TRUE())/COUNTIF(Opportunities!E$5:E$38,C12),"")</f>
        <v/>
      </c>
      <c r="I12" s="52">
        <f>$J$3</f>
        <v/>
      </c>
      <c r="J12" s="60">
        <f>IFERROR(H12/I12,"")</f>
        <v/>
      </c>
      <c r="K12" s="26">
        <f>IFERROR(F12-E12,0)</f>
        <v/>
      </c>
      <c r="L12" s="59">
        <f>IF(K12&gt;8,"Significant acceleration",IF(K12&gt;4,"Moderate acceleration","Minimal difference"))</f>
        <v/>
      </c>
    </row>
    <row r="13" ht="15" customHeight="1">
      <c r="A13" s="20" t="inlineStr">
        <is>
          <t>C008</t>
        </is>
      </c>
      <c r="B13" s="20" t="inlineStr">
        <is>
          <t>Crestline Media</t>
        </is>
      </c>
      <c r="C13" s="20" t="inlineStr">
        <is>
          <t>P007</t>
        </is>
      </c>
      <c r="D13" s="61">
        <f>VLOOKUP(C13,Partners!A5:B16,2,FALSE())</f>
        <v/>
      </c>
      <c r="E13" s="22">
        <f t="array" ref="E13">IFERROR(MEDIAN(IF((Opportunities!B$5:B$38=A13)*(Opportunities!M$5:M$38=TRUE),Opportunities!K$5:K$38)),"")</f>
        <v/>
      </c>
      <c r="F13" s="22">
        <f>$G$3</f>
        <v/>
      </c>
      <c r="G13" s="62">
        <f>IFERROR(F13/E13,"")</f>
        <v/>
      </c>
      <c r="H13" s="49">
        <f>IFERROR(COUNTIFS(Opportunities!E$5:E$38,C13,Opportunities!M$5:M$38,TRUE())/COUNTIF(Opportunities!E$5:E$38,C13),"")</f>
        <v/>
      </c>
      <c r="I13" s="49">
        <f>$J$3</f>
        <v/>
      </c>
      <c r="J13" s="62">
        <f>IFERROR(H13/I13,"")</f>
        <v/>
      </c>
      <c r="K13" s="22">
        <f>IFERROR(F13-E13,0)</f>
        <v/>
      </c>
      <c r="L13" s="61">
        <f>IF(K13&gt;8,"Significant acceleration",IF(K13&gt;4,"Moderate acceleration","Minimal difference"))</f>
        <v/>
      </c>
    </row>
    <row r="14" ht="15" customHeight="1">
      <c r="A14" s="24" t="inlineStr">
        <is>
          <t>C009</t>
        </is>
      </c>
      <c r="B14" s="24" t="inlineStr">
        <is>
          <t>Summit Energy</t>
        </is>
      </c>
      <c r="C14" s="24" t="inlineStr">
        <is>
          <t>P001</t>
        </is>
      </c>
      <c r="D14" s="59">
        <f>VLOOKUP(C14,Partners!A5:B16,2,FALSE())</f>
        <v/>
      </c>
      <c r="E14" s="26">
        <f t="array" ref="E14">IFERROR(MEDIAN(IF((Opportunities!B$5:B$38=A14)*(Opportunities!M$5:M$38=TRUE),Opportunities!K$5:K$38)),"")</f>
        <v/>
      </c>
      <c r="F14" s="26">
        <f>$G$3</f>
        <v/>
      </c>
      <c r="G14" s="60">
        <f>IFERROR(F14/E14,"")</f>
        <v/>
      </c>
      <c r="H14" s="52">
        <f>IFERROR(COUNTIFS(Opportunities!E$5:E$38,C14,Opportunities!M$5:M$38,TRUE())/COUNTIF(Opportunities!E$5:E$38,C14),"")</f>
        <v/>
      </c>
      <c r="I14" s="52">
        <f>$J$3</f>
        <v/>
      </c>
      <c r="J14" s="60">
        <f>IFERROR(H14/I14,"")</f>
        <v/>
      </c>
      <c r="K14" s="26">
        <f>IFERROR(F14-E14,0)</f>
        <v/>
      </c>
      <c r="L14" s="59">
        <f>IF(K14&gt;8,"Significant acceleration",IF(K14&gt;4,"Moderate acceleration","Minimal difference"))</f>
        <v/>
      </c>
    </row>
    <row r="15" ht="15" customHeight="1">
      <c r="A15" s="20" t="inlineStr">
        <is>
          <t>C010</t>
        </is>
      </c>
      <c r="B15" s="20" t="inlineStr">
        <is>
          <t>Vantage Tech</t>
        </is>
      </c>
      <c r="C15" s="20" t="inlineStr">
        <is>
          <t>P002</t>
        </is>
      </c>
      <c r="D15" s="61">
        <f>VLOOKUP(C15,Partners!A5:B16,2,FALSE())</f>
        <v/>
      </c>
      <c r="E15" s="22">
        <f t="array" ref="E15">IFERROR(MEDIAN(IF((Opportunities!B$5:B$38=A15)*(Opportunities!M$5:M$38=TRUE),Opportunities!K$5:K$38)),"")</f>
        <v/>
      </c>
      <c r="F15" s="22">
        <f>$G$3</f>
        <v/>
      </c>
      <c r="G15" s="62">
        <f>IFERROR(F15/E15,"")</f>
        <v/>
      </c>
      <c r="H15" s="49">
        <f>IFERROR(COUNTIFS(Opportunities!E$5:E$38,C15,Opportunities!M$5:M$38,TRUE())/COUNTIF(Opportunities!E$5:E$38,C15),"")</f>
        <v/>
      </c>
      <c r="I15" s="49">
        <f>$J$3</f>
        <v/>
      </c>
      <c r="J15" s="62">
        <f>IFERROR(H15/I15,"")</f>
        <v/>
      </c>
      <c r="K15" s="22">
        <f>IFERROR(F15-E15,0)</f>
        <v/>
      </c>
      <c r="L15" s="61">
        <f>IF(K15&gt;8,"Significant acceleration",IF(K15&gt;4,"Moderate acceleration","Minimal difference"))</f>
        <v/>
      </c>
    </row>
    <row r="16" ht="15" customHeight="1">
      <c r="A16" s="24" t="inlineStr">
        <is>
          <t>C011</t>
        </is>
      </c>
      <c r="B16" s="24" t="inlineStr">
        <is>
          <t>Horizon Pharma</t>
        </is>
      </c>
      <c r="C16" s="24" t="inlineStr">
        <is>
          <t>P011</t>
        </is>
      </c>
      <c r="D16" s="59">
        <f>VLOOKUP(C16,Partners!A5:B16,2,FALSE())</f>
        <v/>
      </c>
      <c r="E16" s="26">
        <f t="array" ref="E16">IFERROR(MEDIAN(IF((Opportunities!B$5:B$38=A16)*(Opportunities!M$5:M$38=TRUE),Opportunities!K$5:K$38)),"")</f>
        <v/>
      </c>
      <c r="F16" s="26">
        <f>$G$3</f>
        <v/>
      </c>
      <c r="G16" s="60">
        <f>IFERROR(F16/E16,"")</f>
        <v/>
      </c>
      <c r="H16" s="52">
        <f>IFERROR(COUNTIFS(Opportunities!E$5:E$38,C16,Opportunities!M$5:M$38,TRUE())/COUNTIF(Opportunities!E$5:E$38,C16),"")</f>
        <v/>
      </c>
      <c r="I16" s="52">
        <f>$J$3</f>
        <v/>
      </c>
      <c r="J16" s="60">
        <f>IFERROR(H16/I16,"")</f>
        <v/>
      </c>
      <c r="K16" s="26">
        <f>IFERROR(F16-E16,0)</f>
        <v/>
      </c>
      <c r="L16" s="59">
        <f>IF(K16&gt;8,"Significant acceleration",IF(K16&gt;4,"Moderate acceleration","Minimal difference"))</f>
        <v/>
      </c>
    </row>
    <row r="17" ht="15" customHeight="1">
      <c r="A17" s="20" t="inlineStr">
        <is>
          <t>C012</t>
        </is>
      </c>
      <c r="B17" s="20" t="inlineStr">
        <is>
          <t>Keystone Bank</t>
        </is>
      </c>
      <c r="C17" s="20" t="inlineStr">
        <is>
          <t>P007</t>
        </is>
      </c>
      <c r="D17" s="61">
        <f>VLOOKUP(C17,Partners!A5:B16,2,FALSE())</f>
        <v/>
      </c>
      <c r="E17" s="22">
        <f t="array" ref="E17">IFERROR(MEDIAN(IF((Opportunities!B$5:B$38=A17)*(Opportunities!M$5:M$38=TRUE),Opportunities!K$5:K$38)),"")</f>
        <v/>
      </c>
      <c r="F17" s="22">
        <f>$G$3</f>
        <v/>
      </c>
      <c r="G17" s="62">
        <f>IFERROR(F17/E17,"")</f>
        <v/>
      </c>
      <c r="H17" s="49">
        <f>IFERROR(COUNTIFS(Opportunities!E$5:E$38,C17,Opportunities!M$5:M$38,TRUE())/COUNTIF(Opportunities!E$5:E$38,C17),"")</f>
        <v/>
      </c>
      <c r="I17" s="49">
        <f>$J$3</f>
        <v/>
      </c>
      <c r="J17" s="62">
        <f>IFERROR(H17/I17,"")</f>
        <v/>
      </c>
      <c r="K17" s="22">
        <f>IFERROR(F17-E17,0)</f>
        <v/>
      </c>
      <c r="L17" s="61">
        <f>IF(K17&gt;8,"Significant acceleration",IF(K17&gt;4,"Moderate acceleration","Minimal difference"))</f>
        <v/>
      </c>
    </row>
    <row r="19" ht="15" customHeight="1">
      <c r="A19" s="91" t="inlineStr">
        <is>
          <t>Portfolio Discovery Summary</t>
        </is>
      </c>
    </row>
    <row r="20" ht="15" customHeight="1">
      <c r="A20" s="98" t="inlineStr">
        <is>
          <t>Average CDE Ratio (partner vs non-partner)</t>
        </is>
      </c>
      <c r="D20" s="37">
        <f>AVERAGE(G6:G17)</f>
        <v/>
      </c>
    </row>
    <row r="21" ht="15" customHeight="1">
      <c r="A21" s="98" t="inlineStr">
        <is>
          <t>Average Trust Transfer Index</t>
        </is>
      </c>
      <c r="D21" s="37">
        <f>AVERAGE(J6:J17)</f>
        <v/>
      </c>
    </row>
    <row r="22" ht="15" customHeight="1">
      <c r="A22" s="98" t="inlineStr">
        <is>
          <t>Total Weeks Saved Across Portfolio</t>
        </is>
      </c>
      <c r="D22" s="36">
        <f>SUM(K6:K17)</f>
        <v/>
      </c>
    </row>
    <row r="23" ht="15" customHeight="1">
      <c r="A23" s="98" t="inlineStr">
        <is>
          <t>Average Weeks Saved Per Deal</t>
        </is>
      </c>
      <c r="D23" s="36">
        <f>AVERAGE(K6:K17)</f>
        <v/>
      </c>
    </row>
    <row r="24" ht="15" customHeight="1">
      <c r="A24" s="98" t="inlineStr">
        <is>
          <t>Baseline: Non-Partner Avg Discovery Weeks</t>
        </is>
      </c>
      <c r="D24" s="36">
        <f>$G$3</f>
        <v/>
      </c>
    </row>
    <row r="25" ht="15" customHeight="1">
      <c r="A25" s="98" t="inlineStr">
        <is>
          <t>Baseline: Non-Partner Win Rate</t>
        </is>
      </c>
      <c r="D25" s="38">
        <f>$J$3</f>
        <v/>
      </c>
    </row>
  </sheetData>
  <mergeCells count="9">
    <mergeCell ref="A25:C25"/>
    <mergeCell ref="A2:L2"/>
    <mergeCell ref="A23:C23"/>
    <mergeCell ref="A1:L1"/>
    <mergeCell ref="A22:C22"/>
    <mergeCell ref="A21:C21"/>
    <mergeCell ref="A19:D19"/>
    <mergeCell ref="A20:C20"/>
    <mergeCell ref="A24:C24"/>
  </mergeCells>
  <pageMargins left="0.75" right="0.75" top="1" bottom="1" header="0.511811023622047" footer="0.511811023622047"/>
  <pageSetup orientation="portrait" paperSize="9" horizontalDpi="300" verticalDpi="300"/>
</worksheet>
</file>

<file path=xl/worksheets/sheet13.xml><?xml version="1.0" encoding="utf-8"?>
<worksheet xmlns="http://schemas.openxmlformats.org/spreadsheetml/2006/main">
  <sheetPr>
    <tabColor rgb="FFF4B942"/>
    <outlinePr summaryBelow="1" summaryRight="1"/>
    <pageSetUpPr/>
  </sheetPr>
  <dimension ref="A1:P28"/>
  <sheetViews>
    <sheetView zoomScaleNormal="100" workbookViewId="0">
      <selection activeCell="G26" sqref="G26"/>
    </sheetView>
  </sheetViews>
  <sheetFormatPr baseColWidth="8" defaultColWidth="8.7109375" defaultRowHeight="15"/>
  <cols>
    <col width="12" customWidth="1" min="1" max="1"/>
    <col width="22" customWidth="1" min="2" max="2"/>
    <col width="14" customWidth="1" min="3" max="9"/>
    <col width="12" customWidth="1" min="10" max="10"/>
    <col width="10" customWidth="1" min="11" max="11"/>
    <col width="18" customWidth="1" min="12" max="12"/>
    <col width="16" customWidth="1" min="13" max="13"/>
    <col width="18" customWidth="1" min="14" max="15"/>
    <col width="14" customWidth="1" min="16" max="16"/>
  </cols>
  <sheetData>
    <row r="1" ht="17.25" customHeight="1">
      <c r="A1" s="93" t="inlineStr">
        <is>
          <t>Customer Success Index (CSI) — the customer's own score, 0–10</t>
        </is>
      </c>
    </row>
    <row r="2" ht="15" customHeight="1">
      <c r="A2" s="94" t="inlineStr">
        <is>
          <t>CSI is scored at the customer, from five components each rated 0–10: product adoption, engagement quality, advocacy, business outcomes and customer sentiment. A component with no data is excluded and the remaining weights renormalise; when the components present carry less than the minimum weight the score is withheld rather than guessed. Weights and bands are on Weights &amp; Assumptions. Customer Outcome Intelligence v1.0 (September 2026) — definitions at https://www.entwineapp.io/metrics. The lifecycle-weighted 0–150 figure earlier copies of this workbook showed here is the Partner Value Attribution layer, on its own sheet.</t>
        </is>
      </c>
    </row>
    <row r="3" ht="15" customHeight="1">
      <c r="A3" s="57" t="inlineStr">
        <is>
          <t>Component weights →</t>
        </is>
      </c>
      <c r="B3" s="57" t="n"/>
      <c r="C3" s="57" t="n"/>
      <c r="D3" s="107">
        <f>'Weights &amp; Assumptions'!B38</f>
        <v/>
      </c>
      <c r="E3" s="107">
        <f>'Weights &amp; Assumptions'!B39</f>
        <v/>
      </c>
      <c r="F3" s="108">
        <f>'Weights &amp; Assumptions'!B40</f>
        <v/>
      </c>
      <c r="G3" s="107">
        <f>'Weights &amp; Assumptions'!B41</f>
        <v/>
      </c>
      <c r="H3" s="107">
        <f>'Weights &amp; Assumptions'!B42</f>
        <v/>
      </c>
      <c r="I3" s="57" t="inlineStr">
        <is>
          <t>Minimum weight →</t>
        </is>
      </c>
      <c r="J3" s="107">
        <f>'Weights &amp; Assumptions'!B43</f>
        <v/>
      </c>
      <c r="K3" s="57" t="n"/>
      <c r="L3" s="57" t="n"/>
      <c r="M3" s="57" t="n"/>
      <c r="N3" s="57" t="n"/>
      <c r="O3" s="57" t="n"/>
      <c r="P3" s="57" t="n"/>
    </row>
    <row r="4"/>
    <row r="5" ht="26.25" customHeight="1">
      <c r="A5" s="5" t="inlineStr">
        <is>
          <t>Customer ID</t>
        </is>
      </c>
      <c r="B5" s="5" t="inlineStr">
        <is>
          <t>Customer Name</t>
        </is>
      </c>
      <c r="C5" s="5" t="inlineStr">
        <is>
          <t>Primary Partner</t>
        </is>
      </c>
      <c r="D5" s="5" t="inlineStr">
        <is>
          <t>Product adoption (0–10)
← Adoption Metrics</t>
        </is>
      </c>
      <c r="E5" s="5" t="inlineStr">
        <is>
          <t>Engagement quality (0–10)
← Engagements</t>
        </is>
      </c>
      <c r="F5" s="5" t="inlineStr">
        <is>
          <t>Advocacy (0–10)
← Surveys + Engagements</t>
        </is>
      </c>
      <c r="G5" s="5" t="inlineStr">
        <is>
          <t>Business outcomes (0–10)
← Customers ARR</t>
        </is>
      </c>
      <c r="H5" s="5" t="inlineStr">
        <is>
          <t>Customer sentiment (0–10)
← Survey NPS</t>
        </is>
      </c>
      <c r="I5" s="5" t="inlineStr">
        <is>
          <t>Components with data</t>
        </is>
      </c>
      <c r="J5" s="5" t="inlineStr">
        <is>
          <t>CSI (0–10)</t>
        </is>
      </c>
      <c r="K5" s="5" t="inlineStr">
        <is>
          <t>Scored on</t>
        </is>
      </c>
      <c r="L5" s="5" t="inlineStr">
        <is>
          <t>Health</t>
        </is>
      </c>
      <c r="M5" s="5" t="inlineStr">
        <is>
          <t>Engagements</t>
        </is>
      </c>
      <c r="N5" s="5" t="inlineStr">
        <is>
          <t>Surveys</t>
        </is>
      </c>
      <c r="O5" s="5" t="inlineStr">
        <is>
          <t>Tickets</t>
        </is>
      </c>
      <c r="P5" s="5" t="inlineStr">
        <is>
          <t>Adoption months</t>
        </is>
      </c>
    </row>
    <row r="6" ht="15" customHeight="1">
      <c r="A6" s="24" t="inlineStr">
        <is>
          <t>C001</t>
        </is>
      </c>
      <c r="B6" s="24" t="inlineStr">
        <is>
          <t>Meridian Healthcare</t>
        </is>
      </c>
      <c r="C6" s="24" t="inlineStr">
        <is>
          <t>P001</t>
        </is>
      </c>
      <c r="D6" s="26">
        <f>IFERROR(MIN(10,ROUND('Adoption Metrics'!F16*10,1)),"")</f>
        <v/>
      </c>
      <c r="E6" s="26">
        <f>IF(COUNTIF(Engagements!B$5:B$106,A6)=0,"",ROUND(SUMIF(Engagements!B$5:B$106,A6,Engagements!I$5:I$106)/COUNTIF(Engagements!B$5:B$106,A6),1))</f>
        <v/>
      </c>
      <c r="F6" s="26">
        <f>IF(AND(COUNTIFS(Engagements!B$5:B$106,A6,Engagements!F$5:F$106,"Advocacy")&gt;0,COUNTIFS('Survey Results'!B$5:B$52,A6,'Survey Results'!R$5:R$52,"Y")&gt;COUNTIFS('Survey Results'!B$5:B$52,A6,'Survey Results'!R$5:R$52,"N")),10,IF(OR(COUNTIFS(Engagements!B$5:B$106,A6,Engagements!F$5:F$106,"Advocacy")&gt;0,COUNTIFS('Survey Results'!B$5:B$52,A6,'Survey Results'!R$5:R$52,"Y")&gt;0),5,0))</f>
        <v/>
      </c>
      <c r="G6" s="26">
        <f>IFERROR(MIN(10,ROUND(LOG(Customers!D5/10000+1,10)*3.33,1)),"")</f>
        <v/>
      </c>
      <c r="H6" s="26">
        <f>IF(COUNTIF('Survey Results'!B$5:B$52,A6)=0,"",ROUND(SUMIF('Survey Results'!B$5:B$52,A6,'Survey Results'!K$5:K$52)/COUNTIF('Survey Results'!B$5:B$52,A6),1))</f>
        <v/>
      </c>
      <c r="I6" s="42">
        <f>COUNT(D6:H6)</f>
        <v/>
      </c>
      <c r="J6" s="109">
        <f>IF((IF(ISNUMBER(D6),$D$3,0)+IF(ISNUMBER(E6),$E$3,0)+IF(ISNUMBER(F6),$F$3,0)+IF(ISNUMBER(G6),$G$3,0)+IF(ISNUMBER(H6),$H$3,0))&lt;$J$3,"Withheld",ROUND((IF(ISNUMBER(D6),D6*$D$3,0)+IF(ISNUMBER(E6),E6*$E$3,0)+IF(ISNUMBER(F6),F6*$F$3,0)+IF(ISNUMBER(G6),G6*$G$3,0)+IF(ISNUMBER(H6),H6*$H$3,0))/(IF(ISNUMBER(D6),$D$3,0)+IF(ISNUMBER(E6),$E$3,0)+IF(ISNUMBER(F6),$F$3,0)+IF(ISNUMBER(G6),$G$3,0)+IF(ISNUMBER(H6),$H$3,0)),2))</f>
        <v/>
      </c>
      <c r="K6" s="59">
        <f>I6&amp;" of 5"</f>
        <v/>
      </c>
      <c r="L6" s="59">
        <f>IF(ISNUMBER(J6),IF(J6&gt;='Weights &amp; Assumptions'!$B$45,"Excellent",IF(J6&gt;='Weights &amp; Assumptions'!$B$46,"Healthy",IF(J6&gt;='Weights &amp; Assumptions'!$B$47,"At Risk","Critical"))),"Withheld")</f>
        <v/>
      </c>
      <c r="M6" s="59">
        <f>COUNTIF(Engagements!B$5:B$106,A6)&amp;" engagements"</f>
        <v/>
      </c>
      <c r="N6" s="59">
        <f>COUNTIF('Survey Results'!B$5:B$52,A6)&amp;" surveys"</f>
        <v/>
      </c>
      <c r="O6" s="59">
        <f>COUNTIF('Support Tickets'!B$5:B$74,A6)&amp;" tickets"</f>
        <v/>
      </c>
      <c r="P6" s="59">
        <f>COUNTIF('Adoption Metrics'!A$5:A$148,A6)&amp;" months"</f>
        <v/>
      </c>
    </row>
    <row r="7" ht="15" customHeight="1">
      <c r="A7" s="20" t="inlineStr">
        <is>
          <t>C002</t>
        </is>
      </c>
      <c r="B7" s="20" t="inlineStr">
        <is>
          <t>Atlas Financial</t>
        </is>
      </c>
      <c r="C7" s="20" t="inlineStr">
        <is>
          <t>P011</t>
        </is>
      </c>
      <c r="D7" s="26">
        <f>IFERROR(MIN(10,ROUND('Adoption Metrics'!F28*10,1)),"")</f>
        <v/>
      </c>
      <c r="E7" s="26">
        <f>IF(COUNTIF(Engagements!B$5:B$106,A7)=0,"",ROUND(SUMIF(Engagements!B$5:B$106,A7,Engagements!I$5:I$106)/COUNTIF(Engagements!B$5:B$106,A7),1))</f>
        <v/>
      </c>
      <c r="F7" s="26">
        <f>IF(AND(COUNTIFS(Engagements!B$5:B$106,A7,Engagements!F$5:F$106,"Advocacy")&gt;0,COUNTIFS('Survey Results'!B$5:B$52,A7,'Survey Results'!R$5:R$52,"Y")&gt;COUNTIFS('Survey Results'!B$5:B$52,A7,'Survey Results'!R$5:R$52,"N")),10,IF(OR(COUNTIFS(Engagements!B$5:B$106,A7,Engagements!F$5:F$106,"Advocacy")&gt;0,COUNTIFS('Survey Results'!B$5:B$52,A7,'Survey Results'!R$5:R$52,"Y")&gt;0),5,0))</f>
        <v/>
      </c>
      <c r="G7" s="26">
        <f>IFERROR(MIN(10,ROUND(LOG(Customers!D6/10000+1,10)*3.33,1)),"")</f>
        <v/>
      </c>
      <c r="H7" s="26">
        <f>IF(COUNTIF('Survey Results'!B$5:B$52,A7)=0,"",ROUND(SUMIF('Survey Results'!B$5:B$52,A7,'Survey Results'!K$5:K$52)/COUNTIF('Survey Results'!B$5:B$52,A7),1))</f>
        <v/>
      </c>
      <c r="I7" s="42">
        <f>COUNT(D7:H7)</f>
        <v/>
      </c>
      <c r="J7" s="109">
        <f>IF((IF(ISNUMBER(D7),$D$3,0)+IF(ISNUMBER(E7),$E$3,0)+IF(ISNUMBER(F7),$F$3,0)+IF(ISNUMBER(G7),$G$3,0)+IF(ISNUMBER(H7),$H$3,0))&lt;$J$3,"Withheld",ROUND((IF(ISNUMBER(D7),D7*$D$3,0)+IF(ISNUMBER(E7),E7*$E$3,0)+IF(ISNUMBER(F7),F7*$F$3,0)+IF(ISNUMBER(G7),G7*$G$3,0)+IF(ISNUMBER(H7),H7*$H$3,0))/(IF(ISNUMBER(D7),$D$3,0)+IF(ISNUMBER(E7),$E$3,0)+IF(ISNUMBER(F7),$F$3,0)+IF(ISNUMBER(G7),$G$3,0)+IF(ISNUMBER(H7),$H$3,0)),2))</f>
        <v/>
      </c>
      <c r="K7" s="59">
        <f>I7&amp;" of 5"</f>
        <v/>
      </c>
      <c r="L7" s="59">
        <f>IF(ISNUMBER(J7),IF(J7&gt;='Weights &amp; Assumptions'!$B$45,"Excellent",IF(J7&gt;='Weights &amp; Assumptions'!$B$46,"Healthy",IF(J7&gt;='Weights &amp; Assumptions'!$B$47,"At Risk","Critical"))),"Withheld")</f>
        <v/>
      </c>
      <c r="M7" s="59">
        <f>COUNTIF(Engagements!B$5:B$106,A7)&amp;" engagements"</f>
        <v/>
      </c>
      <c r="N7" s="59">
        <f>COUNTIF('Survey Results'!B$5:B$52,A7)&amp;" surveys"</f>
        <v/>
      </c>
      <c r="O7" s="59">
        <f>COUNTIF('Support Tickets'!B$5:B$74,A7)&amp;" tickets"</f>
        <v/>
      </c>
      <c r="P7" s="59">
        <f>COUNTIF('Adoption Metrics'!A$5:A$148,A7)&amp;" months"</f>
        <v/>
      </c>
    </row>
    <row r="8" ht="15" customHeight="1">
      <c r="A8" s="24" t="inlineStr">
        <is>
          <t>C003</t>
        </is>
      </c>
      <c r="B8" s="24" t="inlineStr">
        <is>
          <t>Pinnacle Retail</t>
        </is>
      </c>
      <c r="C8" s="24" t="inlineStr">
        <is>
          <t>P007</t>
        </is>
      </c>
      <c r="D8" s="26">
        <f>IFERROR(MIN(10,ROUND('Adoption Metrics'!F40*10,1)),"")</f>
        <v/>
      </c>
      <c r="E8" s="26">
        <f>IF(COUNTIF(Engagements!B$5:B$106,A8)=0,"",ROUND(SUMIF(Engagements!B$5:B$106,A8,Engagements!I$5:I$106)/COUNTIF(Engagements!B$5:B$106,A8),1))</f>
        <v/>
      </c>
      <c r="F8" s="26">
        <f>IF(AND(COUNTIFS(Engagements!B$5:B$106,A8,Engagements!F$5:F$106,"Advocacy")&gt;0,COUNTIFS('Survey Results'!B$5:B$52,A8,'Survey Results'!R$5:R$52,"Y")&gt;COUNTIFS('Survey Results'!B$5:B$52,A8,'Survey Results'!R$5:R$52,"N")),10,IF(OR(COUNTIFS(Engagements!B$5:B$106,A8,Engagements!F$5:F$106,"Advocacy")&gt;0,COUNTIFS('Survey Results'!B$5:B$52,A8,'Survey Results'!R$5:R$52,"Y")&gt;0),5,0))</f>
        <v/>
      </c>
      <c r="G8" s="26">
        <f>IFERROR(MIN(10,ROUND(LOG(Customers!D7/10000+1,10)*3.33,1)),"")</f>
        <v/>
      </c>
      <c r="H8" s="26">
        <f>IF(COUNTIF('Survey Results'!B$5:B$52,A8)=0,"",ROUND(SUMIF('Survey Results'!B$5:B$52,A8,'Survey Results'!K$5:K$52)/COUNTIF('Survey Results'!B$5:B$52,A8),1))</f>
        <v/>
      </c>
      <c r="I8" s="42">
        <f>COUNT(D8:H8)</f>
        <v/>
      </c>
      <c r="J8" s="109">
        <f>IF((IF(ISNUMBER(D8),$D$3,0)+IF(ISNUMBER(E8),$E$3,0)+IF(ISNUMBER(F8),$F$3,0)+IF(ISNUMBER(G8),$G$3,0)+IF(ISNUMBER(H8),$H$3,0))&lt;$J$3,"Withheld",ROUND((IF(ISNUMBER(D8),D8*$D$3,0)+IF(ISNUMBER(E8),E8*$E$3,0)+IF(ISNUMBER(F8),F8*$F$3,0)+IF(ISNUMBER(G8),G8*$G$3,0)+IF(ISNUMBER(H8),H8*$H$3,0))/(IF(ISNUMBER(D8),$D$3,0)+IF(ISNUMBER(E8),$E$3,0)+IF(ISNUMBER(F8),$F$3,0)+IF(ISNUMBER(G8),$G$3,0)+IF(ISNUMBER(H8),$H$3,0)),2))</f>
        <v/>
      </c>
      <c r="K8" s="59">
        <f>I8&amp;" of 5"</f>
        <v/>
      </c>
      <c r="L8" s="59">
        <f>IF(ISNUMBER(J8),IF(J8&gt;='Weights &amp; Assumptions'!$B$45,"Excellent",IF(J8&gt;='Weights &amp; Assumptions'!$B$46,"Healthy",IF(J8&gt;='Weights &amp; Assumptions'!$B$47,"At Risk","Critical"))),"Withheld")</f>
        <v/>
      </c>
      <c r="M8" s="59">
        <f>COUNTIF(Engagements!B$5:B$106,A8)&amp;" engagements"</f>
        <v/>
      </c>
      <c r="N8" s="59">
        <f>COUNTIF('Survey Results'!B$5:B$52,A8)&amp;" surveys"</f>
        <v/>
      </c>
      <c r="O8" s="59">
        <f>COUNTIF('Support Tickets'!B$5:B$74,A8)&amp;" tickets"</f>
        <v/>
      </c>
      <c r="P8" s="59">
        <f>COUNTIF('Adoption Metrics'!A$5:A$148,A8)&amp;" months"</f>
        <v/>
      </c>
    </row>
    <row r="9" ht="15" customHeight="1">
      <c r="A9" s="20" t="inlineStr">
        <is>
          <t>C004</t>
        </is>
      </c>
      <c r="B9" s="20" t="inlineStr">
        <is>
          <t>Orion Manufacturing</t>
        </is>
      </c>
      <c r="C9" s="20" t="inlineStr">
        <is>
          <t>P001</t>
        </is>
      </c>
      <c r="D9" s="26">
        <f>IFERROR(MIN(10,ROUND('Adoption Metrics'!F52*10,1)),"")</f>
        <v/>
      </c>
      <c r="E9" s="26">
        <f>IF(COUNTIF(Engagements!B$5:B$106,A9)=0,"",ROUND(SUMIF(Engagements!B$5:B$106,A9,Engagements!I$5:I$106)/COUNTIF(Engagements!B$5:B$106,A9),1))</f>
        <v/>
      </c>
      <c r="F9" s="26">
        <f>IF(AND(COUNTIFS(Engagements!B$5:B$106,A9,Engagements!F$5:F$106,"Advocacy")&gt;0,COUNTIFS('Survey Results'!B$5:B$52,A9,'Survey Results'!R$5:R$52,"Y")&gt;COUNTIFS('Survey Results'!B$5:B$52,A9,'Survey Results'!R$5:R$52,"N")),10,IF(OR(COUNTIFS(Engagements!B$5:B$106,A9,Engagements!F$5:F$106,"Advocacy")&gt;0,COUNTIFS('Survey Results'!B$5:B$52,A9,'Survey Results'!R$5:R$52,"Y")&gt;0),5,0))</f>
        <v/>
      </c>
      <c r="G9" s="26">
        <f>IFERROR(MIN(10,ROUND(LOG(Customers!D8/10000+1,10)*3.33,1)),"")</f>
        <v/>
      </c>
      <c r="H9" s="26">
        <f>IF(COUNTIF('Survey Results'!B$5:B$52,A9)=0,"",ROUND(SUMIF('Survey Results'!B$5:B$52,A9,'Survey Results'!K$5:K$52)/COUNTIF('Survey Results'!B$5:B$52,A9),1))</f>
        <v/>
      </c>
      <c r="I9" s="42">
        <f>COUNT(D9:H9)</f>
        <v/>
      </c>
      <c r="J9" s="109">
        <f>IF((IF(ISNUMBER(D9),$D$3,0)+IF(ISNUMBER(E9),$E$3,0)+IF(ISNUMBER(F9),$F$3,0)+IF(ISNUMBER(G9),$G$3,0)+IF(ISNUMBER(H9),$H$3,0))&lt;$J$3,"Withheld",ROUND((IF(ISNUMBER(D9),D9*$D$3,0)+IF(ISNUMBER(E9),E9*$E$3,0)+IF(ISNUMBER(F9),F9*$F$3,0)+IF(ISNUMBER(G9),G9*$G$3,0)+IF(ISNUMBER(H9),H9*$H$3,0))/(IF(ISNUMBER(D9),$D$3,0)+IF(ISNUMBER(E9),$E$3,0)+IF(ISNUMBER(F9),$F$3,0)+IF(ISNUMBER(G9),$G$3,0)+IF(ISNUMBER(H9),$H$3,0)),2))</f>
        <v/>
      </c>
      <c r="K9" s="59">
        <f>I9&amp;" of 5"</f>
        <v/>
      </c>
      <c r="L9" s="59">
        <f>IF(ISNUMBER(J9),IF(J9&gt;='Weights &amp; Assumptions'!$B$45,"Excellent",IF(J9&gt;='Weights &amp; Assumptions'!$B$46,"Healthy",IF(J9&gt;='Weights &amp; Assumptions'!$B$47,"At Risk","Critical"))),"Withheld")</f>
        <v/>
      </c>
      <c r="M9" s="59">
        <f>COUNTIF(Engagements!B$5:B$106,A9)&amp;" engagements"</f>
        <v/>
      </c>
      <c r="N9" s="59">
        <f>COUNTIF('Survey Results'!B$5:B$52,A9)&amp;" surveys"</f>
        <v/>
      </c>
      <c r="O9" s="59">
        <f>COUNTIF('Support Tickets'!B$5:B$74,A9)&amp;" tickets"</f>
        <v/>
      </c>
      <c r="P9" s="59">
        <f>COUNTIF('Adoption Metrics'!A$5:A$148,A9)&amp;" months"</f>
        <v/>
      </c>
    </row>
    <row r="10" ht="15" customHeight="1">
      <c r="A10" s="24" t="inlineStr">
        <is>
          <t>C005</t>
        </is>
      </c>
      <c r="B10" s="24" t="inlineStr">
        <is>
          <t>Zenith Logistics</t>
        </is>
      </c>
      <c r="C10" s="24" t="inlineStr">
        <is>
          <t>P002</t>
        </is>
      </c>
      <c r="D10" s="26">
        <f>IFERROR(MIN(10,ROUND('Adoption Metrics'!F64*10,1)),"")</f>
        <v/>
      </c>
      <c r="E10" s="26">
        <f>IF(COUNTIF(Engagements!B$5:B$106,A10)=0,"",ROUND(SUMIF(Engagements!B$5:B$106,A10,Engagements!I$5:I$106)/COUNTIF(Engagements!B$5:B$106,A10),1))</f>
        <v/>
      </c>
      <c r="F10" s="26">
        <f>IF(AND(COUNTIFS(Engagements!B$5:B$106,A10,Engagements!F$5:F$106,"Advocacy")&gt;0,COUNTIFS('Survey Results'!B$5:B$52,A10,'Survey Results'!R$5:R$52,"Y")&gt;COUNTIFS('Survey Results'!B$5:B$52,A10,'Survey Results'!R$5:R$52,"N")),10,IF(OR(COUNTIFS(Engagements!B$5:B$106,A10,Engagements!F$5:F$106,"Advocacy")&gt;0,COUNTIFS('Survey Results'!B$5:B$52,A10,'Survey Results'!R$5:R$52,"Y")&gt;0),5,0))</f>
        <v/>
      </c>
      <c r="G10" s="26">
        <f>IFERROR(MIN(10,ROUND(LOG(Customers!D9/10000+1,10)*3.33,1)),"")</f>
        <v/>
      </c>
      <c r="H10" s="26">
        <f>IF(COUNTIF('Survey Results'!B$5:B$52,A10)=0,"",ROUND(SUMIF('Survey Results'!B$5:B$52,A10,'Survey Results'!K$5:K$52)/COUNTIF('Survey Results'!B$5:B$52,A10),1))</f>
        <v/>
      </c>
      <c r="I10" s="42">
        <f>COUNT(D10:H10)</f>
        <v/>
      </c>
      <c r="J10" s="109">
        <f>IF((IF(ISNUMBER(D10),$D$3,0)+IF(ISNUMBER(E10),$E$3,0)+IF(ISNUMBER(F10),$F$3,0)+IF(ISNUMBER(G10),$G$3,0)+IF(ISNUMBER(H10),$H$3,0))&lt;$J$3,"Withheld",ROUND((IF(ISNUMBER(D10),D10*$D$3,0)+IF(ISNUMBER(E10),E10*$E$3,0)+IF(ISNUMBER(F10),F10*$F$3,0)+IF(ISNUMBER(G10),G10*$G$3,0)+IF(ISNUMBER(H10),H10*$H$3,0))/(IF(ISNUMBER(D10),$D$3,0)+IF(ISNUMBER(E10),$E$3,0)+IF(ISNUMBER(F10),$F$3,0)+IF(ISNUMBER(G10),$G$3,0)+IF(ISNUMBER(H10),$H$3,0)),2))</f>
        <v/>
      </c>
      <c r="K10" s="59">
        <f>I10&amp;" of 5"</f>
        <v/>
      </c>
      <c r="L10" s="59">
        <f>IF(ISNUMBER(J10),IF(J10&gt;='Weights &amp; Assumptions'!$B$45,"Excellent",IF(J10&gt;='Weights &amp; Assumptions'!$B$46,"Healthy",IF(J10&gt;='Weights &amp; Assumptions'!$B$47,"At Risk","Critical"))),"Withheld")</f>
        <v/>
      </c>
      <c r="M10" s="59">
        <f>COUNTIF(Engagements!B$5:B$106,A10)&amp;" engagements"</f>
        <v/>
      </c>
      <c r="N10" s="59">
        <f>COUNTIF('Survey Results'!B$5:B$52,A10)&amp;" surveys"</f>
        <v/>
      </c>
      <c r="O10" s="59">
        <f>COUNTIF('Support Tickets'!B$5:B$74,A10)&amp;" tickets"</f>
        <v/>
      </c>
      <c r="P10" s="59">
        <f>COUNTIF('Adoption Metrics'!A$5:A$148,A10)&amp;" months"</f>
        <v/>
      </c>
    </row>
    <row r="11" ht="15" customHeight="1">
      <c r="A11" s="20" t="inlineStr">
        <is>
          <t>C006</t>
        </is>
      </c>
      <c r="B11" s="20" t="inlineStr">
        <is>
          <t>Beacon Education</t>
        </is>
      </c>
      <c r="C11" s="20" t="inlineStr">
        <is>
          <t>P004</t>
        </is>
      </c>
      <c r="D11" s="26">
        <f>IFERROR(MIN(10,ROUND('Adoption Metrics'!F76*10,1)),"")</f>
        <v/>
      </c>
      <c r="E11" s="26">
        <f>IF(COUNTIF(Engagements!B$5:B$106,A11)=0,"",ROUND(SUMIF(Engagements!B$5:B$106,A11,Engagements!I$5:I$106)/COUNTIF(Engagements!B$5:B$106,A11),1))</f>
        <v/>
      </c>
      <c r="F11" s="26">
        <f>IF(AND(COUNTIFS(Engagements!B$5:B$106,A11,Engagements!F$5:F$106,"Advocacy")&gt;0,COUNTIFS('Survey Results'!B$5:B$52,A11,'Survey Results'!R$5:R$52,"Y")&gt;COUNTIFS('Survey Results'!B$5:B$52,A11,'Survey Results'!R$5:R$52,"N")),10,IF(OR(COUNTIFS(Engagements!B$5:B$106,A11,Engagements!F$5:F$106,"Advocacy")&gt;0,COUNTIFS('Survey Results'!B$5:B$52,A11,'Survey Results'!R$5:R$52,"Y")&gt;0),5,0))</f>
        <v/>
      </c>
      <c r="G11" s="26">
        <f>IFERROR(MIN(10,ROUND(LOG(Customers!D10/10000+1,10)*3.33,1)),"")</f>
        <v/>
      </c>
      <c r="H11" s="26">
        <f>IF(COUNTIF('Survey Results'!B$5:B$52,A11)=0,"",ROUND(SUMIF('Survey Results'!B$5:B$52,A11,'Survey Results'!K$5:K$52)/COUNTIF('Survey Results'!B$5:B$52,A11),1))</f>
        <v/>
      </c>
      <c r="I11" s="42">
        <f>COUNT(D11:H11)</f>
        <v/>
      </c>
      <c r="J11" s="109">
        <f>IF((IF(ISNUMBER(D11),$D$3,0)+IF(ISNUMBER(E11),$E$3,0)+IF(ISNUMBER(F11),$F$3,0)+IF(ISNUMBER(G11),$G$3,0)+IF(ISNUMBER(H11),$H$3,0))&lt;$J$3,"Withheld",ROUND((IF(ISNUMBER(D11),D11*$D$3,0)+IF(ISNUMBER(E11),E11*$E$3,0)+IF(ISNUMBER(F11),F11*$F$3,0)+IF(ISNUMBER(G11),G11*$G$3,0)+IF(ISNUMBER(H11),H11*$H$3,0))/(IF(ISNUMBER(D11),$D$3,0)+IF(ISNUMBER(E11),$E$3,0)+IF(ISNUMBER(F11),$F$3,0)+IF(ISNUMBER(G11),$G$3,0)+IF(ISNUMBER(H11),$H$3,0)),2))</f>
        <v/>
      </c>
      <c r="K11" s="59">
        <f>I11&amp;" of 5"</f>
        <v/>
      </c>
      <c r="L11" s="59">
        <f>IF(ISNUMBER(J11),IF(J11&gt;='Weights &amp; Assumptions'!$B$45,"Excellent",IF(J11&gt;='Weights &amp; Assumptions'!$B$46,"Healthy",IF(J11&gt;='Weights &amp; Assumptions'!$B$47,"At Risk","Critical"))),"Withheld")</f>
        <v/>
      </c>
      <c r="M11" s="59">
        <f>COUNTIF(Engagements!B$5:B$106,A11)&amp;" engagements"</f>
        <v/>
      </c>
      <c r="N11" s="59">
        <f>COUNTIF('Survey Results'!B$5:B$52,A11)&amp;" surveys"</f>
        <v/>
      </c>
      <c r="O11" s="59">
        <f>COUNTIF('Support Tickets'!B$5:B$74,A11)&amp;" tickets"</f>
        <v/>
      </c>
      <c r="P11" s="59">
        <f>COUNTIF('Adoption Metrics'!A$5:A$148,A11)&amp;" months"</f>
        <v/>
      </c>
    </row>
    <row r="12" ht="15" customHeight="1">
      <c r="A12" s="24" t="inlineStr">
        <is>
          <t>C007</t>
        </is>
      </c>
      <c r="B12" s="24" t="inlineStr">
        <is>
          <t>Forge Industries</t>
        </is>
      </c>
      <c r="C12" s="24" t="inlineStr">
        <is>
          <t>P011</t>
        </is>
      </c>
      <c r="D12" s="26">
        <f>IFERROR(MIN(10,ROUND('Adoption Metrics'!F88*10,1)),"")</f>
        <v/>
      </c>
      <c r="E12" s="26">
        <f>IF(COUNTIF(Engagements!B$5:B$106,A12)=0,"",ROUND(SUMIF(Engagements!B$5:B$106,A12,Engagements!I$5:I$106)/COUNTIF(Engagements!B$5:B$106,A12),1))</f>
        <v/>
      </c>
      <c r="F12" s="26">
        <f>IF(AND(COUNTIFS(Engagements!B$5:B$106,A12,Engagements!F$5:F$106,"Advocacy")&gt;0,COUNTIFS('Survey Results'!B$5:B$52,A12,'Survey Results'!R$5:R$52,"Y")&gt;COUNTIFS('Survey Results'!B$5:B$52,A12,'Survey Results'!R$5:R$52,"N")),10,IF(OR(COUNTIFS(Engagements!B$5:B$106,A12,Engagements!F$5:F$106,"Advocacy")&gt;0,COUNTIFS('Survey Results'!B$5:B$52,A12,'Survey Results'!R$5:R$52,"Y")&gt;0),5,0))</f>
        <v/>
      </c>
      <c r="G12" s="26">
        <f>IFERROR(MIN(10,ROUND(LOG(Customers!D11/10000+1,10)*3.33,1)),"")</f>
        <v/>
      </c>
      <c r="H12" s="26">
        <f>IF(COUNTIF('Survey Results'!B$5:B$52,A12)=0,"",ROUND(SUMIF('Survey Results'!B$5:B$52,A12,'Survey Results'!K$5:K$52)/COUNTIF('Survey Results'!B$5:B$52,A12),1))</f>
        <v/>
      </c>
      <c r="I12" s="42">
        <f>COUNT(D12:H12)</f>
        <v/>
      </c>
      <c r="J12" s="109">
        <f>IF((IF(ISNUMBER(D12),$D$3,0)+IF(ISNUMBER(E12),$E$3,0)+IF(ISNUMBER(F12),$F$3,0)+IF(ISNUMBER(G12),$G$3,0)+IF(ISNUMBER(H12),$H$3,0))&lt;$J$3,"Withheld",ROUND((IF(ISNUMBER(D12),D12*$D$3,0)+IF(ISNUMBER(E12),E12*$E$3,0)+IF(ISNUMBER(F12),F12*$F$3,0)+IF(ISNUMBER(G12),G12*$G$3,0)+IF(ISNUMBER(H12),H12*$H$3,0))/(IF(ISNUMBER(D12),$D$3,0)+IF(ISNUMBER(E12),$E$3,0)+IF(ISNUMBER(F12),$F$3,0)+IF(ISNUMBER(G12),$G$3,0)+IF(ISNUMBER(H12),$H$3,0)),2))</f>
        <v/>
      </c>
      <c r="K12" s="59">
        <f>I12&amp;" of 5"</f>
        <v/>
      </c>
      <c r="L12" s="59">
        <f>IF(ISNUMBER(J12),IF(J12&gt;='Weights &amp; Assumptions'!$B$45,"Excellent",IF(J12&gt;='Weights &amp; Assumptions'!$B$46,"Healthy",IF(J12&gt;='Weights &amp; Assumptions'!$B$47,"At Risk","Critical"))),"Withheld")</f>
        <v/>
      </c>
      <c r="M12" s="59">
        <f>COUNTIF(Engagements!B$5:B$106,A12)&amp;" engagements"</f>
        <v/>
      </c>
      <c r="N12" s="59">
        <f>COUNTIF('Survey Results'!B$5:B$52,A12)&amp;" surveys"</f>
        <v/>
      </c>
      <c r="O12" s="59">
        <f>COUNTIF('Support Tickets'!B$5:B$74,A12)&amp;" tickets"</f>
        <v/>
      </c>
      <c r="P12" s="59">
        <f>COUNTIF('Adoption Metrics'!A$5:A$148,A12)&amp;" months"</f>
        <v/>
      </c>
    </row>
    <row r="13" ht="15" customHeight="1">
      <c r="A13" s="20" t="inlineStr">
        <is>
          <t>C008</t>
        </is>
      </c>
      <c r="B13" s="20" t="inlineStr">
        <is>
          <t>Crestline Media</t>
        </is>
      </c>
      <c r="C13" s="20" t="inlineStr">
        <is>
          <t>P007</t>
        </is>
      </c>
      <c r="D13" s="26">
        <f>IFERROR(MIN(10,ROUND('Adoption Metrics'!F100*10,1)),"")</f>
        <v/>
      </c>
      <c r="E13" s="26">
        <f>IF(COUNTIF(Engagements!B$5:B$106,A13)=0,"",ROUND(SUMIF(Engagements!B$5:B$106,A13,Engagements!I$5:I$106)/COUNTIF(Engagements!B$5:B$106,A13),1))</f>
        <v/>
      </c>
      <c r="F13" s="26">
        <f>IF(AND(COUNTIFS(Engagements!B$5:B$106,A13,Engagements!F$5:F$106,"Advocacy")&gt;0,COUNTIFS('Survey Results'!B$5:B$52,A13,'Survey Results'!R$5:R$52,"Y")&gt;COUNTIFS('Survey Results'!B$5:B$52,A13,'Survey Results'!R$5:R$52,"N")),10,IF(OR(COUNTIFS(Engagements!B$5:B$106,A13,Engagements!F$5:F$106,"Advocacy")&gt;0,COUNTIFS('Survey Results'!B$5:B$52,A13,'Survey Results'!R$5:R$52,"Y")&gt;0),5,0))</f>
        <v/>
      </c>
      <c r="G13" s="26">
        <f>IFERROR(MIN(10,ROUND(LOG(Customers!D12/10000+1,10)*3.33,1)),"")</f>
        <v/>
      </c>
      <c r="H13" s="26">
        <f>IF(COUNTIF('Survey Results'!B$5:B$52,A13)=0,"",ROUND(SUMIF('Survey Results'!B$5:B$52,A13,'Survey Results'!K$5:K$52)/COUNTIF('Survey Results'!B$5:B$52,A13),1))</f>
        <v/>
      </c>
      <c r="I13" s="42">
        <f>COUNT(D13:H13)</f>
        <v/>
      </c>
      <c r="J13" s="109">
        <f>IF((IF(ISNUMBER(D13),$D$3,0)+IF(ISNUMBER(E13),$E$3,0)+IF(ISNUMBER(F13),$F$3,0)+IF(ISNUMBER(G13),$G$3,0)+IF(ISNUMBER(H13),$H$3,0))&lt;$J$3,"Withheld",ROUND((IF(ISNUMBER(D13),D13*$D$3,0)+IF(ISNUMBER(E13),E13*$E$3,0)+IF(ISNUMBER(F13),F13*$F$3,0)+IF(ISNUMBER(G13),G13*$G$3,0)+IF(ISNUMBER(H13),H13*$H$3,0))/(IF(ISNUMBER(D13),$D$3,0)+IF(ISNUMBER(E13),$E$3,0)+IF(ISNUMBER(F13),$F$3,0)+IF(ISNUMBER(G13),$G$3,0)+IF(ISNUMBER(H13),$H$3,0)),2))</f>
        <v/>
      </c>
      <c r="K13" s="59">
        <f>I13&amp;" of 5"</f>
        <v/>
      </c>
      <c r="L13" s="59">
        <f>IF(ISNUMBER(J13),IF(J13&gt;='Weights &amp; Assumptions'!$B$45,"Excellent",IF(J13&gt;='Weights &amp; Assumptions'!$B$46,"Healthy",IF(J13&gt;='Weights &amp; Assumptions'!$B$47,"At Risk","Critical"))),"Withheld")</f>
        <v/>
      </c>
      <c r="M13" s="59">
        <f>COUNTIF(Engagements!B$5:B$106,A13)&amp;" engagements"</f>
        <v/>
      </c>
      <c r="N13" s="59">
        <f>COUNTIF('Survey Results'!B$5:B$52,A13)&amp;" surveys"</f>
        <v/>
      </c>
      <c r="O13" s="59">
        <f>COUNTIF('Support Tickets'!B$5:B$74,A13)&amp;" tickets"</f>
        <v/>
      </c>
      <c r="P13" s="59">
        <f>COUNTIF('Adoption Metrics'!A$5:A$148,A13)&amp;" months"</f>
        <v/>
      </c>
    </row>
    <row r="14" ht="15" customHeight="1">
      <c r="A14" s="24" t="inlineStr">
        <is>
          <t>C009</t>
        </is>
      </c>
      <c r="B14" s="24" t="inlineStr">
        <is>
          <t>Summit Energy</t>
        </is>
      </c>
      <c r="C14" s="24" t="inlineStr">
        <is>
          <t>P001</t>
        </is>
      </c>
      <c r="D14" s="26">
        <f>IFERROR(MIN(10,ROUND('Adoption Metrics'!F112*10,1)),"")</f>
        <v/>
      </c>
      <c r="E14" s="26">
        <f>IF(COUNTIF(Engagements!B$5:B$106,A14)=0,"",ROUND(SUMIF(Engagements!B$5:B$106,A14,Engagements!I$5:I$106)/COUNTIF(Engagements!B$5:B$106,A14),1))</f>
        <v/>
      </c>
      <c r="F14" s="26">
        <f>IF(AND(COUNTIFS(Engagements!B$5:B$106,A14,Engagements!F$5:F$106,"Advocacy")&gt;0,COUNTIFS('Survey Results'!B$5:B$52,A14,'Survey Results'!R$5:R$52,"Y")&gt;COUNTIFS('Survey Results'!B$5:B$52,A14,'Survey Results'!R$5:R$52,"N")),10,IF(OR(COUNTIFS(Engagements!B$5:B$106,A14,Engagements!F$5:F$106,"Advocacy")&gt;0,COUNTIFS('Survey Results'!B$5:B$52,A14,'Survey Results'!R$5:R$52,"Y")&gt;0),5,0))</f>
        <v/>
      </c>
      <c r="G14" s="26">
        <f>IFERROR(MIN(10,ROUND(LOG(Customers!D13/10000+1,10)*3.33,1)),"")</f>
        <v/>
      </c>
      <c r="H14" s="26">
        <f>IF(COUNTIF('Survey Results'!B$5:B$52,A14)=0,"",ROUND(SUMIF('Survey Results'!B$5:B$52,A14,'Survey Results'!K$5:K$52)/COUNTIF('Survey Results'!B$5:B$52,A14),1))</f>
        <v/>
      </c>
      <c r="I14" s="42">
        <f>COUNT(D14:H14)</f>
        <v/>
      </c>
      <c r="J14" s="109">
        <f>IF((IF(ISNUMBER(D14),$D$3,0)+IF(ISNUMBER(E14),$E$3,0)+IF(ISNUMBER(F14),$F$3,0)+IF(ISNUMBER(G14),$G$3,0)+IF(ISNUMBER(H14),$H$3,0))&lt;$J$3,"Withheld",ROUND((IF(ISNUMBER(D14),D14*$D$3,0)+IF(ISNUMBER(E14),E14*$E$3,0)+IF(ISNUMBER(F14),F14*$F$3,0)+IF(ISNUMBER(G14),G14*$G$3,0)+IF(ISNUMBER(H14),H14*$H$3,0))/(IF(ISNUMBER(D14),$D$3,0)+IF(ISNUMBER(E14),$E$3,0)+IF(ISNUMBER(F14),$F$3,0)+IF(ISNUMBER(G14),$G$3,0)+IF(ISNUMBER(H14),$H$3,0)),2))</f>
        <v/>
      </c>
      <c r="K14" s="59">
        <f>I14&amp;" of 5"</f>
        <v/>
      </c>
      <c r="L14" s="59">
        <f>IF(ISNUMBER(J14),IF(J14&gt;='Weights &amp; Assumptions'!$B$45,"Excellent",IF(J14&gt;='Weights &amp; Assumptions'!$B$46,"Healthy",IF(J14&gt;='Weights &amp; Assumptions'!$B$47,"At Risk","Critical"))),"Withheld")</f>
        <v/>
      </c>
      <c r="M14" s="59">
        <f>COUNTIF(Engagements!B$5:B$106,A14)&amp;" engagements"</f>
        <v/>
      </c>
      <c r="N14" s="59">
        <f>COUNTIF('Survey Results'!B$5:B$52,A14)&amp;" surveys"</f>
        <v/>
      </c>
      <c r="O14" s="59">
        <f>COUNTIF('Support Tickets'!B$5:B$74,A14)&amp;" tickets"</f>
        <v/>
      </c>
      <c r="P14" s="59">
        <f>COUNTIF('Adoption Metrics'!A$5:A$148,A14)&amp;" months"</f>
        <v/>
      </c>
    </row>
    <row r="15" ht="15" customHeight="1">
      <c r="A15" s="20" t="inlineStr">
        <is>
          <t>C010</t>
        </is>
      </c>
      <c r="B15" s="20" t="inlineStr">
        <is>
          <t>Vantage Tech</t>
        </is>
      </c>
      <c r="C15" s="20" t="inlineStr">
        <is>
          <t>P002</t>
        </is>
      </c>
      <c r="D15" s="26">
        <f>IFERROR(MIN(10,ROUND('Adoption Metrics'!F124*10,1)),"")</f>
        <v/>
      </c>
      <c r="E15" s="26">
        <f>IF(COUNTIF(Engagements!B$5:B$106,A15)=0,"",ROUND(SUMIF(Engagements!B$5:B$106,A15,Engagements!I$5:I$106)/COUNTIF(Engagements!B$5:B$106,A15),1))</f>
        <v/>
      </c>
      <c r="F15" s="26">
        <f>IF(AND(COUNTIFS(Engagements!B$5:B$106,A15,Engagements!F$5:F$106,"Advocacy")&gt;0,COUNTIFS('Survey Results'!B$5:B$52,A15,'Survey Results'!R$5:R$52,"Y")&gt;COUNTIFS('Survey Results'!B$5:B$52,A15,'Survey Results'!R$5:R$52,"N")),10,IF(OR(COUNTIFS(Engagements!B$5:B$106,A15,Engagements!F$5:F$106,"Advocacy")&gt;0,COUNTIFS('Survey Results'!B$5:B$52,A15,'Survey Results'!R$5:R$52,"Y")&gt;0),5,0))</f>
        <v/>
      </c>
      <c r="G15" s="26">
        <f>IFERROR(MIN(10,ROUND(LOG(Customers!D14/10000+1,10)*3.33,1)),"")</f>
        <v/>
      </c>
      <c r="H15" s="26">
        <f>IF(COUNTIF('Survey Results'!B$5:B$52,A15)=0,"",ROUND(SUMIF('Survey Results'!B$5:B$52,A15,'Survey Results'!K$5:K$52)/COUNTIF('Survey Results'!B$5:B$52,A15),1))</f>
        <v/>
      </c>
      <c r="I15" s="42">
        <f>COUNT(D15:H15)</f>
        <v/>
      </c>
      <c r="J15" s="109">
        <f>IF((IF(ISNUMBER(D15),$D$3,0)+IF(ISNUMBER(E15),$E$3,0)+IF(ISNUMBER(F15),$F$3,0)+IF(ISNUMBER(G15),$G$3,0)+IF(ISNUMBER(H15),$H$3,0))&lt;$J$3,"Withheld",ROUND((IF(ISNUMBER(D15),D15*$D$3,0)+IF(ISNUMBER(E15),E15*$E$3,0)+IF(ISNUMBER(F15),F15*$F$3,0)+IF(ISNUMBER(G15),G15*$G$3,0)+IF(ISNUMBER(H15),H15*$H$3,0))/(IF(ISNUMBER(D15),$D$3,0)+IF(ISNUMBER(E15),$E$3,0)+IF(ISNUMBER(F15),$F$3,0)+IF(ISNUMBER(G15),$G$3,0)+IF(ISNUMBER(H15),$H$3,0)),2))</f>
        <v/>
      </c>
      <c r="K15" s="59">
        <f>I15&amp;" of 5"</f>
        <v/>
      </c>
      <c r="L15" s="59">
        <f>IF(ISNUMBER(J15),IF(J15&gt;='Weights &amp; Assumptions'!$B$45,"Excellent",IF(J15&gt;='Weights &amp; Assumptions'!$B$46,"Healthy",IF(J15&gt;='Weights &amp; Assumptions'!$B$47,"At Risk","Critical"))),"Withheld")</f>
        <v/>
      </c>
      <c r="M15" s="59">
        <f>COUNTIF(Engagements!B$5:B$106,A15)&amp;" engagements"</f>
        <v/>
      </c>
      <c r="N15" s="59">
        <f>COUNTIF('Survey Results'!B$5:B$52,A15)&amp;" surveys"</f>
        <v/>
      </c>
      <c r="O15" s="59">
        <f>COUNTIF('Support Tickets'!B$5:B$74,A15)&amp;" tickets"</f>
        <v/>
      </c>
      <c r="P15" s="59">
        <f>COUNTIF('Adoption Metrics'!A$5:A$148,A15)&amp;" months"</f>
        <v/>
      </c>
    </row>
    <row r="16" ht="15" customHeight="1">
      <c r="A16" s="24" t="inlineStr">
        <is>
          <t>C011</t>
        </is>
      </c>
      <c r="B16" s="24" t="inlineStr">
        <is>
          <t>Horizon Pharma</t>
        </is>
      </c>
      <c r="C16" s="24" t="inlineStr">
        <is>
          <t>P011</t>
        </is>
      </c>
      <c r="D16" s="26">
        <f>IFERROR(MIN(10,ROUND('Adoption Metrics'!F136*10,1)),"")</f>
        <v/>
      </c>
      <c r="E16" s="26">
        <f>IF(COUNTIF(Engagements!B$5:B$106,A16)=0,"",ROUND(SUMIF(Engagements!B$5:B$106,A16,Engagements!I$5:I$106)/COUNTIF(Engagements!B$5:B$106,A16),1))</f>
        <v/>
      </c>
      <c r="F16" s="26">
        <f>IF(AND(COUNTIFS(Engagements!B$5:B$106,A16,Engagements!F$5:F$106,"Advocacy")&gt;0,COUNTIFS('Survey Results'!B$5:B$52,A16,'Survey Results'!R$5:R$52,"Y")&gt;COUNTIFS('Survey Results'!B$5:B$52,A16,'Survey Results'!R$5:R$52,"N")),10,IF(OR(COUNTIFS(Engagements!B$5:B$106,A16,Engagements!F$5:F$106,"Advocacy")&gt;0,COUNTIFS('Survey Results'!B$5:B$52,A16,'Survey Results'!R$5:R$52,"Y")&gt;0),5,0))</f>
        <v/>
      </c>
      <c r="G16" s="26">
        <f>IFERROR(MIN(10,ROUND(LOG(Customers!D15/10000+1,10)*3.33,1)),"")</f>
        <v/>
      </c>
      <c r="H16" s="26">
        <f>IF(COUNTIF('Survey Results'!B$5:B$52,A16)=0,"",ROUND(SUMIF('Survey Results'!B$5:B$52,A16,'Survey Results'!K$5:K$52)/COUNTIF('Survey Results'!B$5:B$52,A16),1))</f>
        <v/>
      </c>
      <c r="I16" s="42">
        <f>COUNT(D16:H16)</f>
        <v/>
      </c>
      <c r="J16" s="109">
        <f>IF((IF(ISNUMBER(D16),$D$3,0)+IF(ISNUMBER(E16),$E$3,0)+IF(ISNUMBER(F16),$F$3,0)+IF(ISNUMBER(G16),$G$3,0)+IF(ISNUMBER(H16),$H$3,0))&lt;$J$3,"Withheld",ROUND((IF(ISNUMBER(D16),D16*$D$3,0)+IF(ISNUMBER(E16),E16*$E$3,0)+IF(ISNUMBER(F16),F16*$F$3,0)+IF(ISNUMBER(G16),G16*$G$3,0)+IF(ISNUMBER(H16),H16*$H$3,0))/(IF(ISNUMBER(D16),$D$3,0)+IF(ISNUMBER(E16),$E$3,0)+IF(ISNUMBER(F16),$F$3,0)+IF(ISNUMBER(G16),$G$3,0)+IF(ISNUMBER(H16),$H$3,0)),2))</f>
        <v/>
      </c>
      <c r="K16" s="59">
        <f>I16&amp;" of 5"</f>
        <v/>
      </c>
      <c r="L16" s="59">
        <f>IF(ISNUMBER(J16),IF(J16&gt;='Weights &amp; Assumptions'!$B$45,"Excellent",IF(J16&gt;='Weights &amp; Assumptions'!$B$46,"Healthy",IF(J16&gt;='Weights &amp; Assumptions'!$B$47,"At Risk","Critical"))),"Withheld")</f>
        <v/>
      </c>
      <c r="M16" s="59">
        <f>COUNTIF(Engagements!B$5:B$106,A16)&amp;" engagements"</f>
        <v/>
      </c>
      <c r="N16" s="59">
        <f>COUNTIF('Survey Results'!B$5:B$52,A16)&amp;" surveys"</f>
        <v/>
      </c>
      <c r="O16" s="59">
        <f>COUNTIF('Support Tickets'!B$5:B$74,A16)&amp;" tickets"</f>
        <v/>
      </c>
      <c r="P16" s="59">
        <f>COUNTIF('Adoption Metrics'!A$5:A$148,A16)&amp;" months"</f>
        <v/>
      </c>
    </row>
    <row r="17" ht="15" customHeight="1">
      <c r="A17" s="20" t="inlineStr">
        <is>
          <t>C012</t>
        </is>
      </c>
      <c r="B17" s="20" t="inlineStr">
        <is>
          <t>Keystone Bank</t>
        </is>
      </c>
      <c r="C17" s="20" t="inlineStr">
        <is>
          <t>P007</t>
        </is>
      </c>
      <c r="D17" s="26">
        <f>IFERROR(MIN(10,ROUND('Adoption Metrics'!F148*10,1)),"")</f>
        <v/>
      </c>
      <c r="E17" s="26">
        <f>IF(COUNTIF(Engagements!B$5:B$106,A17)=0,"",ROUND(SUMIF(Engagements!B$5:B$106,A17,Engagements!I$5:I$106)/COUNTIF(Engagements!B$5:B$106,A17),1))</f>
        <v/>
      </c>
      <c r="F17" s="26">
        <f>IF(AND(COUNTIFS(Engagements!B$5:B$106,A17,Engagements!F$5:F$106,"Advocacy")&gt;0,COUNTIFS('Survey Results'!B$5:B$52,A17,'Survey Results'!R$5:R$52,"Y")&gt;COUNTIFS('Survey Results'!B$5:B$52,A17,'Survey Results'!R$5:R$52,"N")),10,IF(OR(COUNTIFS(Engagements!B$5:B$106,A17,Engagements!F$5:F$106,"Advocacy")&gt;0,COUNTIFS('Survey Results'!B$5:B$52,A17,'Survey Results'!R$5:R$52,"Y")&gt;0),5,0))</f>
        <v/>
      </c>
      <c r="G17" s="26">
        <f>IFERROR(MIN(10,ROUND(LOG(Customers!D16/10000+1,10)*3.33,1)),"")</f>
        <v/>
      </c>
      <c r="H17" s="26">
        <f>IF(COUNTIF('Survey Results'!B$5:B$52,A17)=0,"",ROUND(SUMIF('Survey Results'!B$5:B$52,A17,'Survey Results'!K$5:K$52)/COUNTIF('Survey Results'!B$5:B$52,A17),1))</f>
        <v/>
      </c>
      <c r="I17" s="42">
        <f>COUNT(D17:H17)</f>
        <v/>
      </c>
      <c r="J17" s="109">
        <f>IF((IF(ISNUMBER(D17),$D$3,0)+IF(ISNUMBER(E17),$E$3,0)+IF(ISNUMBER(F17),$F$3,0)+IF(ISNUMBER(G17),$G$3,0)+IF(ISNUMBER(H17),$H$3,0))&lt;$J$3,"Withheld",ROUND((IF(ISNUMBER(D17),D17*$D$3,0)+IF(ISNUMBER(E17),E17*$E$3,0)+IF(ISNUMBER(F17),F17*$F$3,0)+IF(ISNUMBER(G17),G17*$G$3,0)+IF(ISNUMBER(H17),H17*$H$3,0))/(IF(ISNUMBER(D17),$D$3,0)+IF(ISNUMBER(E17),$E$3,0)+IF(ISNUMBER(F17),$F$3,0)+IF(ISNUMBER(G17),$G$3,0)+IF(ISNUMBER(H17),$H$3,0)),2))</f>
        <v/>
      </c>
      <c r="K17" s="59">
        <f>I17&amp;" of 5"</f>
        <v/>
      </c>
      <c r="L17" s="59">
        <f>IF(ISNUMBER(J17),IF(J17&gt;='Weights &amp; Assumptions'!$B$45,"Excellent",IF(J17&gt;='Weights &amp; Assumptions'!$B$46,"Healthy",IF(J17&gt;='Weights &amp; Assumptions'!$B$47,"At Risk","Critical"))),"Withheld")</f>
        <v/>
      </c>
      <c r="M17" s="59">
        <f>COUNTIF(Engagements!B$5:B$106,A17)&amp;" engagements"</f>
        <v/>
      </c>
      <c r="N17" s="59">
        <f>COUNTIF('Survey Results'!B$5:B$52,A17)&amp;" surveys"</f>
        <v/>
      </c>
      <c r="O17" s="59">
        <f>COUNTIF('Support Tickets'!B$5:B$74,A17)&amp;" tickets"</f>
        <v/>
      </c>
      <c r="P17" s="59">
        <f>COUNTIF('Adoption Metrics'!A$5:A$148,A17)&amp;" months"</f>
        <v/>
      </c>
    </row>
    <row r="18"/>
    <row r="19" ht="15" customHeight="1">
      <c r="A19" s="91" t="inlineStr">
        <is>
          <t>Portfolio CSI Summary</t>
        </is>
      </c>
    </row>
    <row r="20" ht="15" customHeight="1">
      <c r="A20" s="98" t="inlineStr">
        <is>
          <t>Average CSI (scored customers)</t>
        </is>
      </c>
      <c r="D20" s="36">
        <f>IF(COUNT(J6:J17)=0,"—",ROUND(SUM(J6:J17)/COUNT(J6:J17),2))</f>
        <v/>
      </c>
    </row>
    <row r="21" ht="15" customHeight="1">
      <c r="A21" s="98" t="inlineStr">
        <is>
          <t>Scored customers</t>
        </is>
      </c>
      <c r="D21" s="38">
        <f>COUNT(J6:J17)</f>
        <v/>
      </c>
    </row>
    <row r="22" ht="15" customHeight="1">
      <c r="A22" s="98" t="inlineStr">
        <is>
          <t>Excellent (CSI ≥ 8)</t>
        </is>
      </c>
      <c r="D22" s="39">
        <f>COUNTIF(L6:L17,"Excellent")</f>
        <v/>
      </c>
    </row>
    <row r="23" ht="15" customHeight="1">
      <c r="A23" s="98" t="inlineStr">
        <is>
          <t>Healthy (6–7.9)</t>
        </is>
      </c>
      <c r="D23" s="39">
        <f>COUNTIF(L6:L17,"Healthy")</f>
        <v/>
      </c>
    </row>
    <row r="24" ht="15" customHeight="1">
      <c r="A24" s="98" t="inlineStr">
        <is>
          <t>At Risk (4–5.9)</t>
        </is>
      </c>
      <c r="D24" s="39">
        <f>COUNTIF(L6:L17,"At Risk")</f>
        <v/>
      </c>
    </row>
    <row r="25" ht="15" customHeight="1">
      <c r="A25" s="98" t="inlineStr">
        <is>
          <t>Critical (&lt; 4)</t>
        </is>
      </c>
      <c r="D25" s="39">
        <f>COUNTIF(L6:L17,"Critical")</f>
        <v/>
      </c>
    </row>
    <row r="26" ht="15" customHeight="1">
      <c r="A26" s="98" t="inlineStr">
        <is>
          <t>Withheld (too few components with data)</t>
        </is>
      </c>
      <c r="D26" s="39">
        <f>COUNTIF(L6:L17,"Withheld")</f>
        <v/>
      </c>
    </row>
    <row r="27" ht="15" customHeight="1">
      <c r="A27" s="98" t="inlineStr">
        <is>
          <t>Total source engagements used</t>
        </is>
      </c>
      <c r="D27" s="39">
        <f>COUNTA(Engagements!A5:A106)</f>
        <v/>
      </c>
    </row>
    <row r="28" ht="15" customHeight="1">
      <c r="A28" s="98" t="inlineStr">
        <is>
          <t>Total source surveys used</t>
        </is>
      </c>
      <c r="D28" s="39">
        <f>COUNTA('Survey Results'!A5:A52)</f>
        <v/>
      </c>
    </row>
  </sheetData>
  <mergeCells count="12">
    <mergeCell ref="A28:C28"/>
    <mergeCell ref="A25:C25"/>
    <mergeCell ref="A23:C23"/>
    <mergeCell ref="A1:P1"/>
    <mergeCell ref="A22:C22"/>
    <mergeCell ref="A27:C27"/>
    <mergeCell ref="A21:C21"/>
    <mergeCell ref="A19:D19"/>
    <mergeCell ref="A26:C26"/>
    <mergeCell ref="A20:C20"/>
    <mergeCell ref="A24:C24"/>
    <mergeCell ref="A2:P2"/>
  </mergeCells>
  <pageMargins left="0.75" right="0.75" top="1" bottom="1" header="0.511811023622047" footer="0.511811023622047"/>
  <pageSetup orientation="portrait" paperSize="9" horizontalDpi="300" verticalDpi="300"/>
</worksheet>
</file>

<file path=xl/worksheets/sheet14.xml><?xml version="1.0" encoding="utf-8"?>
<worksheet xmlns="http://schemas.openxmlformats.org/spreadsheetml/2006/main">
  <sheetPr>
    <tabColor rgb="FFF4B942"/>
    <outlinePr summaryBelow="1" summaryRight="1"/>
    <pageSetUpPr/>
  </sheetPr>
  <dimension ref="A1:N25"/>
  <sheetViews>
    <sheetView zoomScaleNormal="100" workbookViewId="0">
      <selection activeCell="A1" sqref="A1:N1"/>
    </sheetView>
  </sheetViews>
  <sheetFormatPr baseColWidth="8" defaultColWidth="8.7109375" defaultRowHeight="15"/>
  <cols>
    <col width="12" customWidth="1" min="1" max="1"/>
    <col width="22" customWidth="1" min="2" max="2"/>
    <col width="16" customWidth="1" min="3" max="3"/>
    <col width="18" customWidth="1" min="4" max="4"/>
    <col width="16" customWidth="1" min="5" max="5"/>
    <col width="14" customWidth="1" min="6" max="6"/>
    <col width="16" customWidth="1" min="7" max="8"/>
    <col width="18" customWidth="1" min="9" max="9"/>
    <col width="16" customWidth="1" min="10" max="10"/>
    <col width="14" customWidth="1" min="11" max="11"/>
    <col width="12" customWidth="1" min="12" max="12"/>
    <col width="10" customWidth="1" min="13" max="13"/>
    <col width="26" customWidth="1" min="14" max="14"/>
  </cols>
  <sheetData>
    <row r="1" ht="17.25" customHeight="1">
      <c r="A1" s="93" t="inlineStr">
        <is>
          <t>Ecosystem Completeness Score (ECS)</t>
        </is>
      </c>
    </row>
    <row r="2" ht="15" customHeight="1">
      <c r="A2" s="94" t="inlineStr">
        <is>
          <t>ECS = needs met ÷ needs recorded, importance-weighted, ×100: each capability area recorded for the customer is scored 0–10 for how far the ecosystem meets it, weighted by importance (Weights &amp; Assumptions). Bands: above 80 complete solution · 60–80 primary but supplemented · 40–60 one of many · below 40 tactical. Customer Outcome Intelligence v1.0 (September 2026) — definitions at https://www.entwineapp.io/metrics.</t>
        </is>
      </c>
    </row>
    <row r="4" ht="39" customHeight="1">
      <c r="A4" s="5" t="inlineStr">
        <is>
          <t>Customer ID</t>
        </is>
      </c>
      <c r="B4" s="5" t="inlineStr">
        <is>
          <t>Customer Name</t>
        </is>
      </c>
      <c r="C4" s="5" t="inlineStr">
        <is>
          <t>Core Product (W:5)
← Adoption Metrics</t>
        </is>
      </c>
      <c r="D4" s="5" t="inlineStr">
        <is>
          <t>Implementation (W:4)
← Engagements</t>
        </is>
      </c>
      <c r="E4" s="5" t="inlineStr">
        <is>
          <t>Integration (W:4)
← Survey Results</t>
        </is>
      </c>
      <c r="F4" s="5" t="inlineStr">
        <is>
          <t>Training (W:3)
← Survey Results</t>
        </is>
      </c>
      <c r="G4" s="5" t="inlineStr">
        <is>
          <t>Support (W:3)
← Support Tickets</t>
        </is>
      </c>
      <c r="H4" s="5" t="inlineStr">
        <is>
          <t>Compliance (W:5)
← Survey Results</t>
        </is>
      </c>
      <c r="I4" s="5" t="inlineStr">
        <is>
          <t>Analytics (W:3)
← Adoption Metrics</t>
        </is>
      </c>
      <c r="J4" s="5" t="inlineStr">
        <is>
          <t>Reporting (W:2)
← Survey Results</t>
        </is>
      </c>
      <c r="K4" s="5" t="inlineStr">
        <is>
          <t>Weighted Total</t>
        </is>
      </c>
      <c r="L4" s="5" t="inlineStr">
        <is>
          <t>Max Possible</t>
        </is>
      </c>
      <c r="M4" s="5" t="inlineStr">
        <is>
          <t>ECS %</t>
        </is>
      </c>
      <c r="N4" s="5" t="inlineStr">
        <is>
          <t>ECS Status</t>
        </is>
      </c>
    </row>
    <row r="5" ht="15" customHeight="1">
      <c r="A5" s="20" t="inlineStr">
        <is>
          <t>C001</t>
        </is>
      </c>
      <c r="B5" s="20" t="inlineStr">
        <is>
          <t>Meridian Healthcare</t>
        </is>
      </c>
      <c r="C5" s="40">
        <f>IFERROR(ROUND('Adoption Metrics'!F16*10,0),5)</f>
        <v/>
      </c>
      <c r="D5" s="40">
        <f>IFERROR(ROUND(AVERAGEIFS(Engagements!I$5:I$106,Engagements!B$5:B$106,A5,Engagements!F$5:F$106,"Onboarding"),0),0)</f>
        <v/>
      </c>
      <c r="E5" s="40">
        <f>IFERROR(ROUND(AVERAGEIF('Survey Results'!B$5:B$52,A5,'Survey Results'!P$5:P$52),0),0)</f>
        <v/>
      </c>
      <c r="F5" s="40">
        <f>IFERROR(ROUND(AVERAGEIF('Survey Results'!B$5:B$52,A5,'Survey Results'!N$5:N$52),0),0)</f>
        <v/>
      </c>
      <c r="G5" s="40">
        <f>IFERROR(ROUND(AVERAGEIF('Support Tickets'!B$5:B$74,A5,'Support Tickets'!J$5:J$74)*2,0),0)</f>
        <v/>
      </c>
      <c r="H5" s="40">
        <f>IFERROR(ROUND(AVERAGEIF('Survey Results'!B$5:B$52,A5,'Survey Results'!Q$5:Q$52),0),0)</f>
        <v/>
      </c>
      <c r="I5" s="40">
        <f>IFERROR(ROUND('Adoption Metrics'!I16*10,0),0)</f>
        <v/>
      </c>
      <c r="J5" s="40">
        <f>IFERROR(ROUND(AVERAGEIF('Survey Results'!B$5:B$52,A5,'Survey Results'!O$5:O$52),0),0)</f>
        <v/>
      </c>
      <c r="K5" s="40">
        <f>(C5*'Weights &amp; Assumptions'!B16)+(D5*'Weights &amp; Assumptions'!B17)+(E5*'Weights &amp; Assumptions'!B18)+(F5*'Weights &amp; Assumptions'!B19)+(G5*'Weights &amp; Assumptions'!B20)+(H5*'Weights &amp; Assumptions'!B21)+(I5*'Weights &amp; Assumptions'!B22)+(J5*'Weights &amp; Assumptions'!B23)</f>
        <v/>
      </c>
      <c r="L5" s="40">
        <f>'Weights &amp; Assumptions'!D24</f>
        <v/>
      </c>
      <c r="M5" s="49">
        <f>K5/L5</f>
        <v/>
      </c>
      <c r="N5" s="61">
        <f>IF(M5&gt;=0.8,"Complete Solution",IF(M5&gt;=0.6,"Primary but Supplemented",IF(M5&gt;=0.4,"One of Many","Tactical - High Churn Risk")))</f>
        <v/>
      </c>
    </row>
    <row r="6" ht="15" customHeight="1">
      <c r="A6" s="24" t="inlineStr">
        <is>
          <t>C002</t>
        </is>
      </c>
      <c r="B6" s="24" t="inlineStr">
        <is>
          <t>Atlas Financial</t>
        </is>
      </c>
      <c r="C6" s="42">
        <f>IFERROR(ROUND('Adoption Metrics'!F28*10,0),5)</f>
        <v/>
      </c>
      <c r="D6" s="42">
        <f>IFERROR(ROUND(AVERAGEIFS(Engagements!I$5:I$106,Engagements!B$5:B$106,A6,Engagements!F$5:F$106,"Onboarding"),0),0)</f>
        <v/>
      </c>
      <c r="E6" s="42">
        <f>IFERROR(ROUND(AVERAGEIF('Survey Results'!B$5:B$52,A6,'Survey Results'!P$5:P$52),0),0)</f>
        <v/>
      </c>
      <c r="F6" s="42">
        <f>IFERROR(ROUND(AVERAGEIF('Survey Results'!B$5:B$52,A6,'Survey Results'!N$5:N$52),0),0)</f>
        <v/>
      </c>
      <c r="G6" s="42">
        <f>IFERROR(ROUND(AVERAGEIF('Support Tickets'!B$5:B$74,A6,'Support Tickets'!J$5:J$74)*2,0),0)</f>
        <v/>
      </c>
      <c r="H6" s="42">
        <f>IFERROR(ROUND(AVERAGEIF('Survey Results'!B$5:B$52,A6,'Survey Results'!Q$5:Q$52),0),0)</f>
        <v/>
      </c>
      <c r="I6" s="42">
        <f>IFERROR(ROUND('Adoption Metrics'!I28*10,0),0)</f>
        <v/>
      </c>
      <c r="J6" s="42">
        <f>IFERROR(ROUND(AVERAGEIF('Survey Results'!B$5:B$52,A6,'Survey Results'!O$5:O$52),0),0)</f>
        <v/>
      </c>
      <c r="K6" s="42">
        <f>(C6*'Weights &amp; Assumptions'!B16)+(D6*'Weights &amp; Assumptions'!B17)+(E6*'Weights &amp; Assumptions'!B18)+(F6*'Weights &amp; Assumptions'!B19)+(G6*'Weights &amp; Assumptions'!B20)+(H6*'Weights &amp; Assumptions'!B21)+(I6*'Weights &amp; Assumptions'!B22)+(J6*'Weights &amp; Assumptions'!B23)</f>
        <v/>
      </c>
      <c r="L6" s="42">
        <f>'Weights &amp; Assumptions'!D24</f>
        <v/>
      </c>
      <c r="M6" s="52">
        <f>K6/L6</f>
        <v/>
      </c>
      <c r="N6" s="59">
        <f>IF(M6&gt;=0.8,"Complete Solution",IF(M6&gt;=0.6,"Primary but Supplemented",IF(M6&gt;=0.4,"One of Many","Tactical - High Churn Risk")))</f>
        <v/>
      </c>
    </row>
    <row r="7" ht="15" customHeight="1">
      <c r="A7" s="20" t="inlineStr">
        <is>
          <t>C003</t>
        </is>
      </c>
      <c r="B7" s="20" t="inlineStr">
        <is>
          <t>Pinnacle Retail</t>
        </is>
      </c>
      <c r="C7" s="40">
        <f>IFERROR(ROUND('Adoption Metrics'!F40*10,0),5)</f>
        <v/>
      </c>
      <c r="D7" s="40">
        <f>IFERROR(ROUND(AVERAGEIFS(Engagements!I$5:I$106,Engagements!B$5:B$106,A7,Engagements!F$5:F$106,"Onboarding"),0),0)</f>
        <v/>
      </c>
      <c r="E7" s="40">
        <f>IFERROR(ROUND(AVERAGEIF('Survey Results'!B$5:B$52,A7,'Survey Results'!P$5:P$52),0),0)</f>
        <v/>
      </c>
      <c r="F7" s="40">
        <f>IFERROR(ROUND(AVERAGEIF('Survey Results'!B$5:B$52,A7,'Survey Results'!N$5:N$52),0),0)</f>
        <v/>
      </c>
      <c r="G7" s="40">
        <f>IFERROR(ROUND(AVERAGEIF('Support Tickets'!B$5:B$74,A7,'Support Tickets'!J$5:J$74)*2,0),0)</f>
        <v/>
      </c>
      <c r="H7" s="40">
        <f>IFERROR(ROUND(AVERAGEIF('Survey Results'!B$5:B$52,A7,'Survey Results'!Q$5:Q$52),0),0)</f>
        <v/>
      </c>
      <c r="I7" s="40">
        <f>IFERROR(ROUND('Adoption Metrics'!I40*10,0),0)</f>
        <v/>
      </c>
      <c r="J7" s="40">
        <f>IFERROR(ROUND(AVERAGEIF('Survey Results'!B$5:B$52,A7,'Survey Results'!O$5:O$52),0),0)</f>
        <v/>
      </c>
      <c r="K7" s="40">
        <f>(C7*'Weights &amp; Assumptions'!B16)+(D7*'Weights &amp; Assumptions'!B17)+(E7*'Weights &amp; Assumptions'!B18)+(F7*'Weights &amp; Assumptions'!B19)+(G7*'Weights &amp; Assumptions'!B20)+(H7*'Weights &amp; Assumptions'!B21)+(I7*'Weights &amp; Assumptions'!B22)+(J7*'Weights &amp; Assumptions'!B23)</f>
        <v/>
      </c>
      <c r="L7" s="40">
        <f>'Weights &amp; Assumptions'!D24</f>
        <v/>
      </c>
      <c r="M7" s="49">
        <f>K7/L7</f>
        <v/>
      </c>
      <c r="N7" s="61">
        <f>IF(M7&gt;=0.8,"Complete Solution",IF(M7&gt;=0.6,"Primary but Supplemented",IF(M7&gt;=0.4,"One of Many","Tactical - High Churn Risk")))</f>
        <v/>
      </c>
    </row>
    <row r="8" ht="15" customHeight="1">
      <c r="A8" s="24" t="inlineStr">
        <is>
          <t>C004</t>
        </is>
      </c>
      <c r="B8" s="24" t="inlineStr">
        <is>
          <t>Orion Manufacturing</t>
        </is>
      </c>
      <c r="C8" s="42">
        <f>IFERROR(ROUND('Adoption Metrics'!F52*10,0),5)</f>
        <v/>
      </c>
      <c r="D8" s="42">
        <f>IFERROR(ROUND(AVERAGEIFS(Engagements!I$5:I$106,Engagements!B$5:B$106,A8,Engagements!F$5:F$106,"Onboarding"),0),0)</f>
        <v/>
      </c>
      <c r="E8" s="42">
        <f>IFERROR(ROUND(AVERAGEIF('Survey Results'!B$5:B$52,A8,'Survey Results'!P$5:P$52),0),0)</f>
        <v/>
      </c>
      <c r="F8" s="42">
        <f>IFERROR(ROUND(AVERAGEIF('Survey Results'!B$5:B$52,A8,'Survey Results'!N$5:N$52),0),0)</f>
        <v/>
      </c>
      <c r="G8" s="42">
        <f>IFERROR(ROUND(AVERAGEIF('Support Tickets'!B$5:B$74,A8,'Support Tickets'!J$5:J$74)*2,0),0)</f>
        <v/>
      </c>
      <c r="H8" s="42">
        <f>IFERROR(ROUND(AVERAGEIF('Survey Results'!B$5:B$52,A8,'Survey Results'!Q$5:Q$52),0),0)</f>
        <v/>
      </c>
      <c r="I8" s="42">
        <f>IFERROR(ROUND('Adoption Metrics'!I52*10,0),0)</f>
        <v/>
      </c>
      <c r="J8" s="42">
        <f>IFERROR(ROUND(AVERAGEIF('Survey Results'!B$5:B$52,A8,'Survey Results'!O$5:O$52),0),0)</f>
        <v/>
      </c>
      <c r="K8" s="42">
        <f>(C8*'Weights &amp; Assumptions'!B16)+(D8*'Weights &amp; Assumptions'!B17)+(E8*'Weights &amp; Assumptions'!B18)+(F8*'Weights &amp; Assumptions'!B19)+(G8*'Weights &amp; Assumptions'!B20)+(H8*'Weights &amp; Assumptions'!B21)+(I8*'Weights &amp; Assumptions'!B22)+(J8*'Weights &amp; Assumptions'!B23)</f>
        <v/>
      </c>
      <c r="L8" s="42">
        <f>'Weights &amp; Assumptions'!D24</f>
        <v/>
      </c>
      <c r="M8" s="52">
        <f>K8/L8</f>
        <v/>
      </c>
      <c r="N8" s="59">
        <f>IF(M8&gt;=0.8,"Complete Solution",IF(M8&gt;=0.6,"Primary but Supplemented",IF(M8&gt;=0.4,"One of Many","Tactical - High Churn Risk")))</f>
        <v/>
      </c>
    </row>
    <row r="9" ht="15" customHeight="1">
      <c r="A9" s="20" t="inlineStr">
        <is>
          <t>C005</t>
        </is>
      </c>
      <c r="B9" s="20" t="inlineStr">
        <is>
          <t>Zenith Logistics</t>
        </is>
      </c>
      <c r="C9" s="40">
        <f>IFERROR(ROUND('Adoption Metrics'!F64*10,0),5)</f>
        <v/>
      </c>
      <c r="D9" s="40">
        <f>IFERROR(ROUND(AVERAGEIFS(Engagements!I$5:I$106,Engagements!B$5:B$106,A9,Engagements!F$5:F$106,"Onboarding"),0),0)</f>
        <v/>
      </c>
      <c r="E9" s="40">
        <f>IFERROR(ROUND(AVERAGEIF('Survey Results'!B$5:B$52,A9,'Survey Results'!P$5:P$52),0),0)</f>
        <v/>
      </c>
      <c r="F9" s="40">
        <f>IFERROR(ROUND(AVERAGEIF('Survey Results'!B$5:B$52,A9,'Survey Results'!N$5:N$52),0),0)</f>
        <v/>
      </c>
      <c r="G9" s="40">
        <f>IFERROR(ROUND(AVERAGEIF('Support Tickets'!B$5:B$74,A9,'Support Tickets'!J$5:J$74)*2,0),0)</f>
        <v/>
      </c>
      <c r="H9" s="40">
        <f>IFERROR(ROUND(AVERAGEIF('Survey Results'!B$5:B$52,A9,'Survey Results'!Q$5:Q$52),0),0)</f>
        <v/>
      </c>
      <c r="I9" s="40">
        <f>IFERROR(ROUND('Adoption Metrics'!I64*10,0),0)</f>
        <v/>
      </c>
      <c r="J9" s="40">
        <f>IFERROR(ROUND(AVERAGEIF('Survey Results'!B$5:B$52,A9,'Survey Results'!O$5:O$52),0),0)</f>
        <v/>
      </c>
      <c r="K9" s="40">
        <f>(C9*'Weights &amp; Assumptions'!B16)+(D9*'Weights &amp; Assumptions'!B17)+(E9*'Weights &amp; Assumptions'!B18)+(F9*'Weights &amp; Assumptions'!B19)+(G9*'Weights &amp; Assumptions'!B20)+(H9*'Weights &amp; Assumptions'!B21)+(I9*'Weights &amp; Assumptions'!B22)+(J9*'Weights &amp; Assumptions'!B23)</f>
        <v/>
      </c>
      <c r="L9" s="40">
        <f>'Weights &amp; Assumptions'!D24</f>
        <v/>
      </c>
      <c r="M9" s="49">
        <f>K9/L9</f>
        <v/>
      </c>
      <c r="N9" s="61">
        <f>IF(M9&gt;=0.8,"Complete Solution",IF(M9&gt;=0.6,"Primary but Supplemented",IF(M9&gt;=0.4,"One of Many","Tactical - High Churn Risk")))</f>
        <v/>
      </c>
    </row>
    <row r="10" ht="15" customHeight="1">
      <c r="A10" s="24" t="inlineStr">
        <is>
          <t>C006</t>
        </is>
      </c>
      <c r="B10" s="24" t="inlineStr">
        <is>
          <t>Beacon Education</t>
        </is>
      </c>
      <c r="C10" s="42">
        <f>IFERROR(ROUND('Adoption Metrics'!F76*10,0),5)</f>
        <v/>
      </c>
      <c r="D10" s="42">
        <f>IFERROR(ROUND(AVERAGEIFS(Engagements!I$5:I$106,Engagements!B$5:B$106,A10,Engagements!F$5:F$106,"Onboarding"),0),0)</f>
        <v/>
      </c>
      <c r="E10" s="42">
        <f>IFERROR(ROUND(AVERAGEIF('Survey Results'!B$5:B$52,A10,'Survey Results'!P$5:P$52),0),0)</f>
        <v/>
      </c>
      <c r="F10" s="42">
        <f>IFERROR(ROUND(AVERAGEIF('Survey Results'!B$5:B$52,A10,'Survey Results'!N$5:N$52),0),0)</f>
        <v/>
      </c>
      <c r="G10" s="42">
        <f>IFERROR(ROUND(AVERAGEIF('Support Tickets'!B$5:B$74,A10,'Support Tickets'!J$5:J$74)*2,0),0)</f>
        <v/>
      </c>
      <c r="H10" s="42">
        <f>IFERROR(ROUND(AVERAGEIF('Survey Results'!B$5:B$52,A10,'Survey Results'!Q$5:Q$52),0),0)</f>
        <v/>
      </c>
      <c r="I10" s="42">
        <f>IFERROR(ROUND('Adoption Metrics'!I76*10,0),0)</f>
        <v/>
      </c>
      <c r="J10" s="42">
        <f>IFERROR(ROUND(AVERAGEIF('Survey Results'!B$5:B$52,A10,'Survey Results'!O$5:O$52),0),0)</f>
        <v/>
      </c>
      <c r="K10" s="42">
        <f>(C10*'Weights &amp; Assumptions'!B16)+(D10*'Weights &amp; Assumptions'!B17)+(E10*'Weights &amp; Assumptions'!B18)+(F10*'Weights &amp; Assumptions'!B19)+(G10*'Weights &amp; Assumptions'!B20)+(H10*'Weights &amp; Assumptions'!B21)+(I10*'Weights &amp; Assumptions'!B22)+(J10*'Weights &amp; Assumptions'!B23)</f>
        <v/>
      </c>
      <c r="L10" s="42">
        <f>'Weights &amp; Assumptions'!D24</f>
        <v/>
      </c>
      <c r="M10" s="52">
        <f>K10/L10</f>
        <v/>
      </c>
      <c r="N10" s="59">
        <f>IF(M10&gt;=0.8,"Complete Solution",IF(M10&gt;=0.6,"Primary but Supplemented",IF(M10&gt;=0.4,"One of Many","Tactical - High Churn Risk")))</f>
        <v/>
      </c>
    </row>
    <row r="11" ht="15" customHeight="1">
      <c r="A11" s="20" t="inlineStr">
        <is>
          <t>C007</t>
        </is>
      </c>
      <c r="B11" s="20" t="inlineStr">
        <is>
          <t>Forge Industries</t>
        </is>
      </c>
      <c r="C11" s="40">
        <f>IFERROR(ROUND('Adoption Metrics'!F88*10,0),5)</f>
        <v/>
      </c>
      <c r="D11" s="40">
        <f>IFERROR(ROUND(AVERAGEIFS(Engagements!I$5:I$106,Engagements!B$5:B$106,A11,Engagements!F$5:F$106,"Onboarding"),0),0)</f>
        <v/>
      </c>
      <c r="E11" s="40">
        <f>IFERROR(ROUND(AVERAGEIF('Survey Results'!B$5:B$52,A11,'Survey Results'!P$5:P$52),0),0)</f>
        <v/>
      </c>
      <c r="F11" s="40">
        <f>IFERROR(ROUND(AVERAGEIF('Survey Results'!B$5:B$52,A11,'Survey Results'!N$5:N$52),0),0)</f>
        <v/>
      </c>
      <c r="G11" s="40">
        <f>IFERROR(ROUND(AVERAGEIF('Support Tickets'!B$5:B$74,A11,'Support Tickets'!J$5:J$74)*2,0),0)</f>
        <v/>
      </c>
      <c r="H11" s="40">
        <f>IFERROR(ROUND(AVERAGEIF('Survey Results'!B$5:B$52,A11,'Survey Results'!Q$5:Q$52),0),0)</f>
        <v/>
      </c>
      <c r="I11" s="40">
        <f>IFERROR(ROUND('Adoption Metrics'!I88*10,0),0)</f>
        <v/>
      </c>
      <c r="J11" s="40">
        <f>IFERROR(ROUND(AVERAGEIF('Survey Results'!B$5:B$52,A11,'Survey Results'!O$5:O$52),0),0)</f>
        <v/>
      </c>
      <c r="K11" s="40">
        <f>(C11*'Weights &amp; Assumptions'!B16)+(D11*'Weights &amp; Assumptions'!B17)+(E11*'Weights &amp; Assumptions'!B18)+(F11*'Weights &amp; Assumptions'!B19)+(G11*'Weights &amp; Assumptions'!B20)+(H11*'Weights &amp; Assumptions'!B21)+(I11*'Weights &amp; Assumptions'!B22)+(J11*'Weights &amp; Assumptions'!B23)</f>
        <v/>
      </c>
      <c r="L11" s="40">
        <f>'Weights &amp; Assumptions'!D24</f>
        <v/>
      </c>
      <c r="M11" s="49">
        <f>K11/L11</f>
        <v/>
      </c>
      <c r="N11" s="61">
        <f>IF(M11&gt;=0.8,"Complete Solution",IF(M11&gt;=0.6,"Primary but Supplemented",IF(M11&gt;=0.4,"One of Many","Tactical - High Churn Risk")))</f>
        <v/>
      </c>
    </row>
    <row r="12" ht="15" customHeight="1">
      <c r="A12" s="24" t="inlineStr">
        <is>
          <t>C008</t>
        </is>
      </c>
      <c r="B12" s="24" t="inlineStr">
        <is>
          <t>Crestline Media</t>
        </is>
      </c>
      <c r="C12" s="42">
        <f>IFERROR(ROUND('Adoption Metrics'!F100*10,0),5)</f>
        <v/>
      </c>
      <c r="D12" s="42">
        <f>IFERROR(ROUND(AVERAGEIFS(Engagements!I$5:I$106,Engagements!B$5:B$106,A12,Engagements!F$5:F$106,"Onboarding"),0),0)</f>
        <v/>
      </c>
      <c r="E12" s="42">
        <f>IFERROR(ROUND(AVERAGEIF('Survey Results'!B$5:B$52,A12,'Survey Results'!P$5:P$52),0),0)</f>
        <v/>
      </c>
      <c r="F12" s="42">
        <f>IFERROR(ROUND(AVERAGEIF('Survey Results'!B$5:B$52,A12,'Survey Results'!N$5:N$52),0),0)</f>
        <v/>
      </c>
      <c r="G12" s="42">
        <f>IFERROR(ROUND(AVERAGEIF('Support Tickets'!B$5:B$74,A12,'Support Tickets'!J$5:J$74)*2,0),0)</f>
        <v/>
      </c>
      <c r="H12" s="42">
        <f>IFERROR(ROUND(AVERAGEIF('Survey Results'!B$5:B$52,A12,'Survey Results'!Q$5:Q$52),0),0)</f>
        <v/>
      </c>
      <c r="I12" s="42">
        <f>IFERROR(ROUND('Adoption Metrics'!I100*10,0),0)</f>
        <v/>
      </c>
      <c r="J12" s="42">
        <f>IFERROR(ROUND(AVERAGEIF('Survey Results'!B$5:B$52,A12,'Survey Results'!O$5:O$52),0),0)</f>
        <v/>
      </c>
      <c r="K12" s="42">
        <f>(C12*'Weights &amp; Assumptions'!B16)+(D12*'Weights &amp; Assumptions'!B17)+(E12*'Weights &amp; Assumptions'!B18)+(F12*'Weights &amp; Assumptions'!B19)+(G12*'Weights &amp; Assumptions'!B20)+(H12*'Weights &amp; Assumptions'!B21)+(I12*'Weights &amp; Assumptions'!B22)+(J12*'Weights &amp; Assumptions'!B23)</f>
        <v/>
      </c>
      <c r="L12" s="42">
        <f>'Weights &amp; Assumptions'!D24</f>
        <v/>
      </c>
      <c r="M12" s="52">
        <f>K12/L12</f>
        <v/>
      </c>
      <c r="N12" s="59">
        <f>IF(M12&gt;=0.8,"Complete Solution",IF(M12&gt;=0.6,"Primary but Supplemented",IF(M12&gt;=0.4,"One of Many","Tactical - High Churn Risk")))</f>
        <v/>
      </c>
    </row>
    <row r="13" ht="15" customHeight="1">
      <c r="A13" s="20" t="inlineStr">
        <is>
          <t>C009</t>
        </is>
      </c>
      <c r="B13" s="20" t="inlineStr">
        <is>
          <t>Summit Energy</t>
        </is>
      </c>
      <c r="C13" s="40">
        <f>IFERROR(ROUND('Adoption Metrics'!F112*10,0),5)</f>
        <v/>
      </c>
      <c r="D13" s="40">
        <f>IFERROR(ROUND(AVERAGEIFS(Engagements!I$5:I$106,Engagements!B$5:B$106,A13,Engagements!F$5:F$106,"Onboarding"),0),0)</f>
        <v/>
      </c>
      <c r="E13" s="40">
        <f>IFERROR(ROUND(AVERAGEIF('Survey Results'!B$5:B$52,A13,'Survey Results'!P$5:P$52),0),0)</f>
        <v/>
      </c>
      <c r="F13" s="40">
        <f>IFERROR(ROUND(AVERAGEIF('Survey Results'!B$5:B$52,A13,'Survey Results'!N$5:N$52),0),0)</f>
        <v/>
      </c>
      <c r="G13" s="40">
        <f>IFERROR(ROUND(AVERAGEIF('Support Tickets'!B$5:B$74,A13,'Support Tickets'!J$5:J$74)*2,0),0)</f>
        <v/>
      </c>
      <c r="H13" s="40">
        <f>IFERROR(ROUND(AVERAGEIF('Survey Results'!B$5:B$52,A13,'Survey Results'!Q$5:Q$52),0),0)</f>
        <v/>
      </c>
      <c r="I13" s="40">
        <f>IFERROR(ROUND('Adoption Metrics'!I112*10,0),0)</f>
        <v/>
      </c>
      <c r="J13" s="40">
        <f>IFERROR(ROUND(AVERAGEIF('Survey Results'!B$5:B$52,A13,'Survey Results'!O$5:O$52),0),0)</f>
        <v/>
      </c>
      <c r="K13" s="40">
        <f>(C13*'Weights &amp; Assumptions'!B16)+(D13*'Weights &amp; Assumptions'!B17)+(E13*'Weights &amp; Assumptions'!B18)+(F13*'Weights &amp; Assumptions'!B19)+(G13*'Weights &amp; Assumptions'!B20)+(H13*'Weights &amp; Assumptions'!B21)+(I13*'Weights &amp; Assumptions'!B22)+(J13*'Weights &amp; Assumptions'!B23)</f>
        <v/>
      </c>
      <c r="L13" s="40">
        <f>'Weights &amp; Assumptions'!D24</f>
        <v/>
      </c>
      <c r="M13" s="49">
        <f>K13/L13</f>
        <v/>
      </c>
      <c r="N13" s="61">
        <f>IF(M13&gt;=0.8,"Complete Solution",IF(M13&gt;=0.6,"Primary but Supplemented",IF(M13&gt;=0.4,"One of Many","Tactical - High Churn Risk")))</f>
        <v/>
      </c>
    </row>
    <row r="14" ht="15" customHeight="1">
      <c r="A14" s="24" t="inlineStr">
        <is>
          <t>C010</t>
        </is>
      </c>
      <c r="B14" s="24" t="inlineStr">
        <is>
          <t>Vantage Tech</t>
        </is>
      </c>
      <c r="C14" s="42">
        <f>IFERROR(ROUND('Adoption Metrics'!F124*10,0),5)</f>
        <v/>
      </c>
      <c r="D14" s="42">
        <f>IFERROR(ROUND(AVERAGEIFS(Engagements!I$5:I$106,Engagements!B$5:B$106,A14,Engagements!F$5:F$106,"Onboarding"),0),0)</f>
        <v/>
      </c>
      <c r="E14" s="42">
        <f>IFERROR(ROUND(AVERAGEIF('Survey Results'!B$5:B$52,A14,'Survey Results'!P$5:P$52),0),0)</f>
        <v/>
      </c>
      <c r="F14" s="42">
        <f>IFERROR(ROUND(AVERAGEIF('Survey Results'!B$5:B$52,A14,'Survey Results'!N$5:N$52),0),0)</f>
        <v/>
      </c>
      <c r="G14" s="42">
        <f>IFERROR(ROUND(AVERAGEIF('Support Tickets'!B$5:B$74,A14,'Support Tickets'!J$5:J$74)*2,0),0)</f>
        <v/>
      </c>
      <c r="H14" s="42">
        <f>IFERROR(ROUND(AVERAGEIF('Survey Results'!B$5:B$52,A14,'Survey Results'!Q$5:Q$52),0),0)</f>
        <v/>
      </c>
      <c r="I14" s="42">
        <f>IFERROR(ROUND('Adoption Metrics'!I124*10,0),0)</f>
        <v/>
      </c>
      <c r="J14" s="42">
        <f>IFERROR(ROUND(AVERAGEIF('Survey Results'!B$5:B$52,A14,'Survey Results'!O$5:O$52),0),0)</f>
        <v/>
      </c>
      <c r="K14" s="42">
        <f>(C14*'Weights &amp; Assumptions'!B16)+(D14*'Weights &amp; Assumptions'!B17)+(E14*'Weights &amp; Assumptions'!B18)+(F14*'Weights &amp; Assumptions'!B19)+(G14*'Weights &amp; Assumptions'!B20)+(H14*'Weights &amp; Assumptions'!B21)+(I14*'Weights &amp; Assumptions'!B22)+(J14*'Weights &amp; Assumptions'!B23)</f>
        <v/>
      </c>
      <c r="L14" s="42">
        <f>'Weights &amp; Assumptions'!D24</f>
        <v/>
      </c>
      <c r="M14" s="52">
        <f>K14/L14</f>
        <v/>
      </c>
      <c r="N14" s="59">
        <f>IF(M14&gt;=0.8,"Complete Solution",IF(M14&gt;=0.6,"Primary but Supplemented",IF(M14&gt;=0.4,"One of Many","Tactical - High Churn Risk")))</f>
        <v/>
      </c>
    </row>
    <row r="15" ht="15" customHeight="1">
      <c r="A15" s="20" t="inlineStr">
        <is>
          <t>C011</t>
        </is>
      </c>
      <c r="B15" s="20" t="inlineStr">
        <is>
          <t>Horizon Pharma</t>
        </is>
      </c>
      <c r="C15" s="40">
        <f>IFERROR(ROUND('Adoption Metrics'!F136*10,0),5)</f>
        <v/>
      </c>
      <c r="D15" s="40">
        <f>IFERROR(ROUND(AVERAGEIFS(Engagements!I$5:I$106,Engagements!B$5:B$106,A15,Engagements!F$5:F$106,"Onboarding"),0),0)</f>
        <v/>
      </c>
      <c r="E15" s="40">
        <f>IFERROR(ROUND(AVERAGEIF('Survey Results'!B$5:B$52,A15,'Survey Results'!P$5:P$52),0),0)</f>
        <v/>
      </c>
      <c r="F15" s="40">
        <f>IFERROR(ROUND(AVERAGEIF('Survey Results'!B$5:B$52,A15,'Survey Results'!N$5:N$52),0),0)</f>
        <v/>
      </c>
      <c r="G15" s="40">
        <f>IFERROR(ROUND(AVERAGEIF('Support Tickets'!B$5:B$74,A15,'Support Tickets'!J$5:J$74)*2,0),0)</f>
        <v/>
      </c>
      <c r="H15" s="40">
        <f>IFERROR(ROUND(AVERAGEIF('Survey Results'!B$5:B$52,A15,'Survey Results'!Q$5:Q$52),0),0)</f>
        <v/>
      </c>
      <c r="I15" s="40">
        <f>IFERROR(ROUND('Adoption Metrics'!I136*10,0),0)</f>
        <v/>
      </c>
      <c r="J15" s="40">
        <f>IFERROR(ROUND(AVERAGEIF('Survey Results'!B$5:B$52,A15,'Survey Results'!O$5:O$52),0),0)</f>
        <v/>
      </c>
      <c r="K15" s="40">
        <f>(C15*'Weights &amp; Assumptions'!B16)+(D15*'Weights &amp; Assumptions'!B17)+(E15*'Weights &amp; Assumptions'!B18)+(F15*'Weights &amp; Assumptions'!B19)+(G15*'Weights &amp; Assumptions'!B20)+(H15*'Weights &amp; Assumptions'!B21)+(I15*'Weights &amp; Assumptions'!B22)+(J15*'Weights &amp; Assumptions'!B23)</f>
        <v/>
      </c>
      <c r="L15" s="40">
        <f>'Weights &amp; Assumptions'!D24</f>
        <v/>
      </c>
      <c r="M15" s="49">
        <f>K15/L15</f>
        <v/>
      </c>
      <c r="N15" s="61">
        <f>IF(M15&gt;=0.8,"Complete Solution",IF(M15&gt;=0.6,"Primary but Supplemented",IF(M15&gt;=0.4,"One of Many","Tactical - High Churn Risk")))</f>
        <v/>
      </c>
    </row>
    <row r="16" ht="15" customHeight="1">
      <c r="A16" s="24" t="inlineStr">
        <is>
          <t>C012</t>
        </is>
      </c>
      <c r="B16" s="24" t="inlineStr">
        <is>
          <t>Keystone Bank</t>
        </is>
      </c>
      <c r="C16" s="42">
        <f>IFERROR(ROUND('Adoption Metrics'!F148*10,0),5)</f>
        <v/>
      </c>
      <c r="D16" s="42">
        <f>IFERROR(ROUND(AVERAGEIFS(Engagements!I$5:I$106,Engagements!B$5:B$106,A16,Engagements!F$5:F$106,"Onboarding"),0),0)</f>
        <v/>
      </c>
      <c r="E16" s="42">
        <f>IFERROR(ROUND(AVERAGEIF('Survey Results'!B$5:B$52,A16,'Survey Results'!P$5:P$52),0),0)</f>
        <v/>
      </c>
      <c r="F16" s="42">
        <f>IFERROR(ROUND(AVERAGEIF('Survey Results'!B$5:B$52,A16,'Survey Results'!N$5:N$52),0),0)</f>
        <v/>
      </c>
      <c r="G16" s="42">
        <f>IFERROR(ROUND(AVERAGEIF('Support Tickets'!B$5:B$74,A16,'Support Tickets'!J$5:J$74)*2,0),0)</f>
        <v/>
      </c>
      <c r="H16" s="42">
        <f>IFERROR(ROUND(AVERAGEIF('Survey Results'!B$5:B$52,A16,'Survey Results'!Q$5:Q$52),0),0)</f>
        <v/>
      </c>
      <c r="I16" s="42">
        <f>IFERROR(ROUND('Adoption Metrics'!I148*10,0),0)</f>
        <v/>
      </c>
      <c r="J16" s="42">
        <f>IFERROR(ROUND(AVERAGEIF('Survey Results'!B$5:B$52,A16,'Survey Results'!O$5:O$52),0),0)</f>
        <v/>
      </c>
      <c r="K16" s="42">
        <f>(C16*'Weights &amp; Assumptions'!B16)+(D16*'Weights &amp; Assumptions'!B17)+(E16*'Weights &amp; Assumptions'!B18)+(F16*'Weights &amp; Assumptions'!B19)+(G16*'Weights &amp; Assumptions'!B20)+(H16*'Weights &amp; Assumptions'!B21)+(I16*'Weights &amp; Assumptions'!B22)+(J16*'Weights &amp; Assumptions'!B23)</f>
        <v/>
      </c>
      <c r="L16" s="42">
        <f>'Weights &amp; Assumptions'!D24</f>
        <v/>
      </c>
      <c r="M16" s="52">
        <f>K16/L16</f>
        <v/>
      </c>
      <c r="N16" s="59">
        <f>IF(M16&gt;=0.8,"Complete Solution",IF(M16&gt;=0.6,"Primary but Supplemented",IF(M16&gt;=0.4,"One of Many","Tactical - High Churn Risk")))</f>
        <v/>
      </c>
    </row>
    <row r="18" ht="15" customHeight="1">
      <c r="A18" s="91" t="inlineStr">
        <is>
          <t>Portfolio ECS Summary</t>
        </is>
      </c>
    </row>
    <row r="19" ht="15" customHeight="1">
      <c r="A19" s="98" t="inlineStr">
        <is>
          <t>Average ECS</t>
        </is>
      </c>
      <c r="D19" s="38">
        <f>AVERAGE(M5:M16)</f>
        <v/>
      </c>
    </row>
    <row r="20" ht="15" customHeight="1">
      <c r="A20" s="98" t="inlineStr">
        <is>
          <t>Complete Solution Count</t>
        </is>
      </c>
      <c r="D20" s="39">
        <f>COUNTIF(N5:N16,"Complete Solution")</f>
        <v/>
      </c>
    </row>
    <row r="21" ht="15" customHeight="1">
      <c r="A21" s="98" t="inlineStr">
        <is>
          <t>Primary but Supplemented Count</t>
        </is>
      </c>
      <c r="D21" s="39">
        <f>COUNTIF(N5:N16,"Primary but Supplemented")</f>
        <v/>
      </c>
    </row>
    <row r="22" ht="15" customHeight="1">
      <c r="A22" s="98" t="inlineStr">
        <is>
          <t>One of Many Count</t>
        </is>
      </c>
      <c r="D22" s="39">
        <f>COUNTIF(N5:N16,"One of Many")</f>
        <v/>
      </c>
    </row>
    <row r="23" ht="15" customHeight="1">
      <c r="A23" s="98" t="inlineStr">
        <is>
          <t>Tactical / High Churn Risk Count</t>
        </is>
      </c>
      <c r="D23" s="39">
        <f>COUNTIF(N5:N16,"Tactical - High Churn Risk")</f>
        <v/>
      </c>
    </row>
    <row r="24" ht="15" customHeight="1">
      <c r="A24" s="98" t="inlineStr">
        <is>
          <t>Source: Avg Survey Responses per Customer</t>
        </is>
      </c>
      <c r="D24" s="36">
        <f>ROUND(COUNTA('Survey Results'!A5:A52)/12,1)</f>
        <v/>
      </c>
    </row>
    <row r="25" ht="15" customHeight="1">
      <c r="A25" s="98" t="inlineStr">
        <is>
          <t>Source: Avg Tickets per Customer</t>
        </is>
      </c>
      <c r="D25" s="36">
        <f>ROUND(COUNTA('Support Tickets'!A5:A74)/12,1)</f>
        <v/>
      </c>
    </row>
  </sheetData>
  <mergeCells count="10">
    <mergeCell ref="A25:C25"/>
    <mergeCell ref="A18:D18"/>
    <mergeCell ref="A19:C19"/>
    <mergeCell ref="A23:C23"/>
    <mergeCell ref="A2:N2"/>
    <mergeCell ref="A22:C22"/>
    <mergeCell ref="A21:C21"/>
    <mergeCell ref="A20:C20"/>
    <mergeCell ref="A24:C24"/>
    <mergeCell ref="A1:N1"/>
  </mergeCells>
  <pageMargins left="0.75" right="0.75" top="1" bottom="1" header="0.511811023622047" footer="0.511811023622047"/>
  <pageSetup orientation="portrait" paperSize="9" horizontalDpi="300" verticalDpi="300"/>
</worksheet>
</file>

<file path=xl/worksheets/sheet15.xml><?xml version="1.0" encoding="utf-8"?>
<worksheet xmlns="http://schemas.openxmlformats.org/spreadsheetml/2006/main">
  <sheetPr>
    <tabColor rgb="FF27AE60"/>
    <outlinePr summaryBelow="1" summaryRight="1"/>
    <pageSetUpPr/>
  </sheetPr>
  <dimension ref="A1:O28"/>
  <sheetViews>
    <sheetView zoomScaleNormal="100" workbookViewId="0">
      <selection activeCell="A1" sqref="A1:O1"/>
    </sheetView>
  </sheetViews>
  <sheetFormatPr baseColWidth="8" defaultColWidth="8.7109375" defaultRowHeight="15"/>
  <cols>
    <col width="12" customWidth="1" min="1" max="1"/>
    <col width="22" customWidth="1" min="2" max="2"/>
    <col width="14" customWidth="1" min="3" max="5"/>
    <col width="10" customWidth="1" min="6" max="6"/>
    <col width="12" customWidth="1" min="7" max="7"/>
    <col width="10" customWidth="1" min="8" max="9"/>
    <col width="14" customWidth="1" min="10" max="12"/>
    <col width="18" customWidth="1" min="13" max="13"/>
  </cols>
  <sheetData>
    <row r="1" ht="17.25" customHeight="1">
      <c r="A1" s="93" t="inlineStr">
        <is>
          <t>Combined Customer-First Dashboard</t>
        </is>
      </c>
    </row>
    <row r="2" ht="15" customHeight="1">
      <c r="A2" s="94" t="inlineStr">
        <is>
          <t>All values pull from the CDE, CSI and ECS sheets. CSI is the customer's own 0–10 (withheld when too few components have data). Estimated LTV uses ARR × retention years by health band (Weights &amp; Assumptions).</t>
        </is>
      </c>
    </row>
    <row r="4" ht="39" customHeight="1">
      <c r="A4" s="5" t="inlineStr">
        <is>
          <t>Customer ID</t>
        </is>
      </c>
      <c r="B4" s="5" t="inlineStr">
        <is>
          <t>Customer Name</t>
        </is>
      </c>
      <c r="C4" s="5" t="inlineStr">
        <is>
          <t>Primary Partner</t>
        </is>
      </c>
      <c r="D4" s="5" t="inlineStr">
        <is>
          <t>Impl. Partner</t>
        </is>
      </c>
      <c r="E4" s="5" t="inlineStr">
        <is>
          <t>Success Partner</t>
        </is>
      </c>
      <c r="F4" s="5" t="inlineStr">
        <is>
          <t>Partner Type</t>
        </is>
      </c>
      <c r="G4" s="5" t="inlineStr">
        <is>
          <t>CDE Ratio</t>
        </is>
      </c>
      <c r="H4" s="5" t="inlineStr">
        <is>
          <t>TTI</t>
        </is>
      </c>
      <c r="I4" s="5" t="inlineStr">
        <is>
          <t>CSI (0–10)</t>
        </is>
      </c>
      <c r="J4" s="5" t="inlineStr">
        <is>
          <t>CSI scored on</t>
        </is>
      </c>
      <c r="K4" s="5" t="inlineStr">
        <is>
          <t>ECS %</t>
        </is>
      </c>
      <c r="L4" s="5" t="inlineStr">
        <is>
          <t>ARR ($)</t>
        </is>
      </c>
      <c r="M4" s="5" t="inlineStr">
        <is>
          <t>Est. Retention (yrs)</t>
        </is>
      </c>
      <c r="N4" s="5" t="inlineStr">
        <is>
          <t>Est. LTV ($)</t>
        </is>
      </c>
      <c r="O4" s="5" t="inlineStr">
        <is>
          <t>Overall Status</t>
        </is>
      </c>
    </row>
    <row r="5" ht="15" customHeight="1">
      <c r="A5" s="9">
        <f>Customers!A5</f>
        <v/>
      </c>
      <c r="B5" s="9">
        <f>Customers!B5</f>
        <v/>
      </c>
      <c r="C5" s="9">
        <f>Customers!F5</f>
        <v/>
      </c>
      <c r="D5" s="9">
        <f>Customers!G5</f>
        <v/>
      </c>
      <c r="E5" s="9">
        <f>Customers!H5</f>
        <v/>
      </c>
      <c r="F5" s="9">
        <f>VLOOKUP(C5,Partners!A5:C16,3,FALSE())</f>
        <v/>
      </c>
      <c r="G5" s="64">
        <f>'CDE Calculator'!G6</f>
        <v/>
      </c>
      <c r="H5" s="64">
        <f>'CDE Calculator'!J6</f>
        <v/>
      </c>
      <c r="I5" s="110">
        <f>'CSI Calculator'!J6</f>
        <v/>
      </c>
      <c r="J5" s="10">
        <f>'CSI Calculator'!K6</f>
        <v/>
      </c>
      <c r="K5" s="10">
        <f>'ECS Calculator'!M5</f>
        <v/>
      </c>
      <c r="L5" s="65">
        <f>Customers!D5</f>
        <v/>
      </c>
      <c r="M5" s="44">
        <f>IF(ISNUMBER(I5),IF(I5&gt;='Weights &amp; Assumptions'!$B$45,'Weights &amp; Assumptions'!$B$31,IF(I5&gt;='Weights &amp; Assumptions'!$B$46,'Weights &amp; Assumptions'!$B$32,IF(I5&gt;='Weights &amp; Assumptions'!$B$47,'Weights &amp; Assumptions'!$B$33,'Weights &amp; Assumptions'!$B$34))),'Weights &amp; Assumptions'!$B$33)</f>
        <v/>
      </c>
      <c r="N5" s="65">
        <f>L5*M5</f>
        <v/>
      </c>
      <c r="O5" s="9">
        <f>IF(NOT(ISNUMBER(I5)),"Withheld",IF(AND(I5&gt;='Weights &amp; Assumptions'!$B$45,K5&gt;=0.8),"Excellent",IF(AND(I5&gt;='Weights &amp; Assumptions'!$B$46,K5&gt;=0.6),"Healthy",IF(OR(I5&lt;'Weights &amp; Assumptions'!$B$47,K5&lt;0.4),"Critical","At Risk"))))</f>
        <v/>
      </c>
    </row>
    <row r="6" ht="15" customHeight="1">
      <c r="A6" s="66">
        <f>Customers!A6</f>
        <v/>
      </c>
      <c r="B6" s="66">
        <f>Customers!B6</f>
        <v/>
      </c>
      <c r="C6" s="66">
        <f>Customers!F6</f>
        <v/>
      </c>
      <c r="D6" s="9">
        <f>Customers!G6</f>
        <v/>
      </c>
      <c r="E6" s="9">
        <f>Customers!H6</f>
        <v/>
      </c>
      <c r="F6" s="66">
        <f>VLOOKUP(C6,Partners!A5:C16,3,FALSE())</f>
        <v/>
      </c>
      <c r="G6" s="67">
        <f>'CDE Calculator'!G7</f>
        <v/>
      </c>
      <c r="H6" s="67">
        <f>'CDE Calculator'!J7</f>
        <v/>
      </c>
      <c r="I6" s="111">
        <f>'CSI Calculator'!J7</f>
        <v/>
      </c>
      <c r="J6" s="69">
        <f>'CSI Calculator'!K7</f>
        <v/>
      </c>
      <c r="K6" s="69">
        <f>'ECS Calculator'!M6</f>
        <v/>
      </c>
      <c r="L6" s="70">
        <f>Customers!D6</f>
        <v/>
      </c>
      <c r="M6" s="71">
        <f>IF(ISNUMBER(I6),IF(I6&gt;='Weights &amp; Assumptions'!$B$45,'Weights &amp; Assumptions'!$B$31,IF(I6&gt;='Weights &amp; Assumptions'!$B$46,'Weights &amp; Assumptions'!$B$32,IF(I6&gt;='Weights &amp; Assumptions'!$B$47,'Weights &amp; Assumptions'!$B$33,'Weights &amp; Assumptions'!$B$34))),'Weights &amp; Assumptions'!$B$33)</f>
        <v/>
      </c>
      <c r="N6" s="70">
        <f>L6*M6</f>
        <v/>
      </c>
      <c r="O6" s="66">
        <f>IF(NOT(ISNUMBER(I6)),"Withheld",IF(AND(I6&gt;='Weights &amp; Assumptions'!$B$45,K6&gt;=0.8),"Excellent",IF(AND(I6&gt;='Weights &amp; Assumptions'!$B$46,K6&gt;=0.6),"Healthy",IF(OR(I6&lt;'Weights &amp; Assumptions'!$B$47,K6&lt;0.4),"Critical","At Risk"))))</f>
        <v/>
      </c>
    </row>
    <row r="7" ht="15" customHeight="1">
      <c r="A7" s="9">
        <f>Customers!A7</f>
        <v/>
      </c>
      <c r="B7" s="9">
        <f>Customers!B7</f>
        <v/>
      </c>
      <c r="C7" s="9">
        <f>Customers!F7</f>
        <v/>
      </c>
      <c r="D7" s="9">
        <f>Customers!G7</f>
        <v/>
      </c>
      <c r="E7" s="9">
        <f>Customers!H7</f>
        <v/>
      </c>
      <c r="F7" s="9">
        <f>VLOOKUP(C7,Partners!A5:C16,3,FALSE())</f>
        <v/>
      </c>
      <c r="G7" s="64">
        <f>'CDE Calculator'!G8</f>
        <v/>
      </c>
      <c r="H7" s="64">
        <f>'CDE Calculator'!J8</f>
        <v/>
      </c>
      <c r="I7" s="110">
        <f>'CSI Calculator'!J8</f>
        <v/>
      </c>
      <c r="J7" s="10">
        <f>'CSI Calculator'!K8</f>
        <v/>
      </c>
      <c r="K7" s="10">
        <f>'ECS Calculator'!M7</f>
        <v/>
      </c>
      <c r="L7" s="65">
        <f>Customers!D7</f>
        <v/>
      </c>
      <c r="M7" s="44">
        <f>IF(ISNUMBER(I7),IF(I7&gt;='Weights &amp; Assumptions'!$B$45,'Weights &amp; Assumptions'!$B$31,IF(I7&gt;='Weights &amp; Assumptions'!$B$46,'Weights &amp; Assumptions'!$B$32,IF(I7&gt;='Weights &amp; Assumptions'!$B$47,'Weights &amp; Assumptions'!$B$33,'Weights &amp; Assumptions'!$B$34))),'Weights &amp; Assumptions'!$B$33)</f>
        <v/>
      </c>
      <c r="N7" s="65">
        <f>L7*M7</f>
        <v/>
      </c>
      <c r="O7" s="9">
        <f>IF(NOT(ISNUMBER(I7)),"Withheld",IF(AND(I7&gt;='Weights &amp; Assumptions'!$B$45,K7&gt;=0.8),"Excellent",IF(AND(I7&gt;='Weights &amp; Assumptions'!$B$46,K7&gt;=0.6),"Healthy",IF(OR(I7&lt;'Weights &amp; Assumptions'!$B$47,K7&lt;0.4),"Critical","At Risk"))))</f>
        <v/>
      </c>
    </row>
    <row r="8" ht="15" customHeight="1">
      <c r="A8" s="66">
        <f>Customers!A8</f>
        <v/>
      </c>
      <c r="B8" s="66">
        <f>Customers!B8</f>
        <v/>
      </c>
      <c r="C8" s="66">
        <f>Customers!F8</f>
        <v/>
      </c>
      <c r="D8" s="9">
        <f>Customers!G8</f>
        <v/>
      </c>
      <c r="E8" s="9">
        <f>Customers!H8</f>
        <v/>
      </c>
      <c r="F8" s="66">
        <f>VLOOKUP(C8,Partners!A5:C16,3,FALSE())</f>
        <v/>
      </c>
      <c r="G8" s="67">
        <f>'CDE Calculator'!G9</f>
        <v/>
      </c>
      <c r="H8" s="67">
        <f>'CDE Calculator'!J9</f>
        <v/>
      </c>
      <c r="I8" s="111">
        <f>'CSI Calculator'!J9</f>
        <v/>
      </c>
      <c r="J8" s="69">
        <f>'CSI Calculator'!K9</f>
        <v/>
      </c>
      <c r="K8" s="69">
        <f>'ECS Calculator'!M8</f>
        <v/>
      </c>
      <c r="L8" s="70">
        <f>Customers!D8</f>
        <v/>
      </c>
      <c r="M8" s="71">
        <f>IF(ISNUMBER(I8),IF(I8&gt;='Weights &amp; Assumptions'!$B$45,'Weights &amp; Assumptions'!$B$31,IF(I8&gt;='Weights &amp; Assumptions'!$B$46,'Weights &amp; Assumptions'!$B$32,IF(I8&gt;='Weights &amp; Assumptions'!$B$47,'Weights &amp; Assumptions'!$B$33,'Weights &amp; Assumptions'!$B$34))),'Weights &amp; Assumptions'!$B$33)</f>
        <v/>
      </c>
      <c r="N8" s="70">
        <f>L8*M8</f>
        <v/>
      </c>
      <c r="O8" s="66">
        <f>IF(NOT(ISNUMBER(I8)),"Withheld",IF(AND(I8&gt;='Weights &amp; Assumptions'!$B$45,K8&gt;=0.8),"Excellent",IF(AND(I8&gt;='Weights &amp; Assumptions'!$B$46,K8&gt;=0.6),"Healthy",IF(OR(I8&lt;'Weights &amp; Assumptions'!$B$47,K8&lt;0.4),"Critical","At Risk"))))</f>
        <v/>
      </c>
    </row>
    <row r="9" ht="15" customHeight="1">
      <c r="A9" s="9">
        <f>Customers!A9</f>
        <v/>
      </c>
      <c r="B9" s="9">
        <f>Customers!B9</f>
        <v/>
      </c>
      <c r="C9" s="9">
        <f>Customers!F9</f>
        <v/>
      </c>
      <c r="D9" s="9">
        <f>Customers!G9</f>
        <v/>
      </c>
      <c r="E9" s="9">
        <f>Customers!H9</f>
        <v/>
      </c>
      <c r="F9" s="9">
        <f>VLOOKUP(C9,Partners!A5:C16,3,FALSE())</f>
        <v/>
      </c>
      <c r="G9" s="64">
        <f>'CDE Calculator'!G10</f>
        <v/>
      </c>
      <c r="H9" s="64">
        <f>'CDE Calculator'!J10</f>
        <v/>
      </c>
      <c r="I9" s="110">
        <f>'CSI Calculator'!J10</f>
        <v/>
      </c>
      <c r="J9" s="10">
        <f>'CSI Calculator'!K10</f>
        <v/>
      </c>
      <c r="K9" s="10">
        <f>'ECS Calculator'!M9</f>
        <v/>
      </c>
      <c r="L9" s="65">
        <f>Customers!D9</f>
        <v/>
      </c>
      <c r="M9" s="44">
        <f>IF(ISNUMBER(I9),IF(I9&gt;='Weights &amp; Assumptions'!$B$45,'Weights &amp; Assumptions'!$B$31,IF(I9&gt;='Weights &amp; Assumptions'!$B$46,'Weights &amp; Assumptions'!$B$32,IF(I9&gt;='Weights &amp; Assumptions'!$B$47,'Weights &amp; Assumptions'!$B$33,'Weights &amp; Assumptions'!$B$34))),'Weights &amp; Assumptions'!$B$33)</f>
        <v/>
      </c>
      <c r="N9" s="65">
        <f>L9*M9</f>
        <v/>
      </c>
      <c r="O9" s="9">
        <f>IF(NOT(ISNUMBER(I9)),"Withheld",IF(AND(I9&gt;='Weights &amp; Assumptions'!$B$45,K9&gt;=0.8),"Excellent",IF(AND(I9&gt;='Weights &amp; Assumptions'!$B$46,K9&gt;=0.6),"Healthy",IF(OR(I9&lt;'Weights &amp; Assumptions'!$B$47,K9&lt;0.4),"Critical","At Risk"))))</f>
        <v/>
      </c>
    </row>
    <row r="10" ht="15" customHeight="1">
      <c r="A10" s="66">
        <f>Customers!A10</f>
        <v/>
      </c>
      <c r="B10" s="66">
        <f>Customers!B10</f>
        <v/>
      </c>
      <c r="C10" s="66">
        <f>Customers!F10</f>
        <v/>
      </c>
      <c r="D10" s="9">
        <f>Customers!G10</f>
        <v/>
      </c>
      <c r="E10" s="9">
        <f>Customers!H10</f>
        <v/>
      </c>
      <c r="F10" s="66">
        <f>VLOOKUP(C10,Partners!A5:C16,3,FALSE())</f>
        <v/>
      </c>
      <c r="G10" s="67">
        <f>'CDE Calculator'!G11</f>
        <v/>
      </c>
      <c r="H10" s="67">
        <f>'CDE Calculator'!J11</f>
        <v/>
      </c>
      <c r="I10" s="111">
        <f>'CSI Calculator'!J11</f>
        <v/>
      </c>
      <c r="J10" s="69">
        <f>'CSI Calculator'!K11</f>
        <v/>
      </c>
      <c r="K10" s="69">
        <f>'ECS Calculator'!M10</f>
        <v/>
      </c>
      <c r="L10" s="70">
        <f>Customers!D10</f>
        <v/>
      </c>
      <c r="M10" s="71">
        <f>IF(ISNUMBER(I10),IF(I10&gt;='Weights &amp; Assumptions'!$B$45,'Weights &amp; Assumptions'!$B$31,IF(I10&gt;='Weights &amp; Assumptions'!$B$46,'Weights &amp; Assumptions'!$B$32,IF(I10&gt;='Weights &amp; Assumptions'!$B$47,'Weights &amp; Assumptions'!$B$33,'Weights &amp; Assumptions'!$B$34))),'Weights &amp; Assumptions'!$B$33)</f>
        <v/>
      </c>
      <c r="N10" s="70">
        <f>L10*M10</f>
        <v/>
      </c>
      <c r="O10" s="66">
        <f>IF(NOT(ISNUMBER(I10)),"Withheld",IF(AND(I10&gt;='Weights &amp; Assumptions'!$B$45,K10&gt;=0.8),"Excellent",IF(AND(I10&gt;='Weights &amp; Assumptions'!$B$46,K10&gt;=0.6),"Healthy",IF(OR(I10&lt;'Weights &amp; Assumptions'!$B$47,K10&lt;0.4),"Critical","At Risk"))))</f>
        <v/>
      </c>
    </row>
    <row r="11" ht="15" customHeight="1">
      <c r="A11" s="9">
        <f>Customers!A11</f>
        <v/>
      </c>
      <c r="B11" s="9">
        <f>Customers!B11</f>
        <v/>
      </c>
      <c r="C11" s="9">
        <f>Customers!F11</f>
        <v/>
      </c>
      <c r="D11" s="9">
        <f>Customers!G11</f>
        <v/>
      </c>
      <c r="E11" s="9">
        <f>Customers!H11</f>
        <v/>
      </c>
      <c r="F11" s="9">
        <f>VLOOKUP(C11,Partners!A5:C16,3,FALSE())</f>
        <v/>
      </c>
      <c r="G11" s="64">
        <f>'CDE Calculator'!G12</f>
        <v/>
      </c>
      <c r="H11" s="64">
        <f>'CDE Calculator'!J12</f>
        <v/>
      </c>
      <c r="I11" s="110">
        <f>'CSI Calculator'!J12</f>
        <v/>
      </c>
      <c r="J11" s="10">
        <f>'CSI Calculator'!K12</f>
        <v/>
      </c>
      <c r="K11" s="10">
        <f>'ECS Calculator'!M11</f>
        <v/>
      </c>
      <c r="L11" s="65">
        <f>Customers!D11</f>
        <v/>
      </c>
      <c r="M11" s="44">
        <f>IF(ISNUMBER(I11),IF(I11&gt;='Weights &amp; Assumptions'!$B$45,'Weights &amp; Assumptions'!$B$31,IF(I11&gt;='Weights &amp; Assumptions'!$B$46,'Weights &amp; Assumptions'!$B$32,IF(I11&gt;='Weights &amp; Assumptions'!$B$47,'Weights &amp; Assumptions'!$B$33,'Weights &amp; Assumptions'!$B$34))),'Weights &amp; Assumptions'!$B$33)</f>
        <v/>
      </c>
      <c r="N11" s="65">
        <f>L11*M11</f>
        <v/>
      </c>
      <c r="O11" s="9">
        <f>IF(NOT(ISNUMBER(I11)),"Withheld",IF(AND(I11&gt;='Weights &amp; Assumptions'!$B$45,K11&gt;=0.8),"Excellent",IF(AND(I11&gt;='Weights &amp; Assumptions'!$B$46,K11&gt;=0.6),"Healthy",IF(OR(I11&lt;'Weights &amp; Assumptions'!$B$47,K11&lt;0.4),"Critical","At Risk"))))</f>
        <v/>
      </c>
    </row>
    <row r="12" ht="15" customHeight="1">
      <c r="A12" s="66">
        <f>Customers!A12</f>
        <v/>
      </c>
      <c r="B12" s="66">
        <f>Customers!B12</f>
        <v/>
      </c>
      <c r="C12" s="66">
        <f>Customers!F12</f>
        <v/>
      </c>
      <c r="D12" s="9">
        <f>Customers!G12</f>
        <v/>
      </c>
      <c r="E12" s="9">
        <f>Customers!H12</f>
        <v/>
      </c>
      <c r="F12" s="66">
        <f>VLOOKUP(C12,Partners!A5:C16,3,FALSE())</f>
        <v/>
      </c>
      <c r="G12" s="67">
        <f>'CDE Calculator'!G13</f>
        <v/>
      </c>
      <c r="H12" s="67">
        <f>'CDE Calculator'!J13</f>
        <v/>
      </c>
      <c r="I12" s="111">
        <f>'CSI Calculator'!J13</f>
        <v/>
      </c>
      <c r="J12" s="69">
        <f>'CSI Calculator'!K13</f>
        <v/>
      </c>
      <c r="K12" s="69">
        <f>'ECS Calculator'!M12</f>
        <v/>
      </c>
      <c r="L12" s="70">
        <f>Customers!D12</f>
        <v/>
      </c>
      <c r="M12" s="71">
        <f>IF(ISNUMBER(I12),IF(I12&gt;='Weights &amp; Assumptions'!$B$45,'Weights &amp; Assumptions'!$B$31,IF(I12&gt;='Weights &amp; Assumptions'!$B$46,'Weights &amp; Assumptions'!$B$32,IF(I12&gt;='Weights &amp; Assumptions'!$B$47,'Weights &amp; Assumptions'!$B$33,'Weights &amp; Assumptions'!$B$34))),'Weights &amp; Assumptions'!$B$33)</f>
        <v/>
      </c>
      <c r="N12" s="70">
        <f>L12*M12</f>
        <v/>
      </c>
      <c r="O12" s="66">
        <f>IF(NOT(ISNUMBER(I12)),"Withheld",IF(AND(I12&gt;='Weights &amp; Assumptions'!$B$45,K12&gt;=0.8),"Excellent",IF(AND(I12&gt;='Weights &amp; Assumptions'!$B$46,K12&gt;=0.6),"Healthy",IF(OR(I12&lt;'Weights &amp; Assumptions'!$B$47,K12&lt;0.4),"Critical","At Risk"))))</f>
        <v/>
      </c>
    </row>
    <row r="13" ht="15" customHeight="1">
      <c r="A13" s="9">
        <f>Customers!A13</f>
        <v/>
      </c>
      <c r="B13" s="9">
        <f>Customers!B13</f>
        <v/>
      </c>
      <c r="C13" s="9">
        <f>Customers!F13</f>
        <v/>
      </c>
      <c r="D13" s="9">
        <f>Customers!G13</f>
        <v/>
      </c>
      <c r="E13" s="9">
        <f>Customers!H13</f>
        <v/>
      </c>
      <c r="F13" s="9">
        <f>VLOOKUP(C13,Partners!A5:C16,3,FALSE())</f>
        <v/>
      </c>
      <c r="G13" s="64">
        <f>'CDE Calculator'!G14</f>
        <v/>
      </c>
      <c r="H13" s="64">
        <f>'CDE Calculator'!J14</f>
        <v/>
      </c>
      <c r="I13" s="110">
        <f>'CSI Calculator'!J14</f>
        <v/>
      </c>
      <c r="J13" s="10">
        <f>'CSI Calculator'!K14</f>
        <v/>
      </c>
      <c r="K13" s="10">
        <f>'ECS Calculator'!M13</f>
        <v/>
      </c>
      <c r="L13" s="65">
        <f>Customers!D13</f>
        <v/>
      </c>
      <c r="M13" s="44">
        <f>IF(ISNUMBER(I13),IF(I13&gt;='Weights &amp; Assumptions'!$B$45,'Weights &amp; Assumptions'!$B$31,IF(I13&gt;='Weights &amp; Assumptions'!$B$46,'Weights &amp; Assumptions'!$B$32,IF(I13&gt;='Weights &amp; Assumptions'!$B$47,'Weights &amp; Assumptions'!$B$33,'Weights &amp; Assumptions'!$B$34))),'Weights &amp; Assumptions'!$B$33)</f>
        <v/>
      </c>
      <c r="N13" s="65">
        <f>L13*M13</f>
        <v/>
      </c>
      <c r="O13" s="9">
        <f>IF(NOT(ISNUMBER(I13)),"Withheld",IF(AND(I13&gt;='Weights &amp; Assumptions'!$B$45,K13&gt;=0.8),"Excellent",IF(AND(I13&gt;='Weights &amp; Assumptions'!$B$46,K13&gt;=0.6),"Healthy",IF(OR(I13&lt;'Weights &amp; Assumptions'!$B$47,K13&lt;0.4),"Critical","At Risk"))))</f>
        <v/>
      </c>
    </row>
    <row r="14" ht="15" customHeight="1">
      <c r="A14" s="66">
        <f>Customers!A14</f>
        <v/>
      </c>
      <c r="B14" s="66">
        <f>Customers!B14</f>
        <v/>
      </c>
      <c r="C14" s="66">
        <f>Customers!F14</f>
        <v/>
      </c>
      <c r="D14" s="9">
        <f>Customers!G14</f>
        <v/>
      </c>
      <c r="E14" s="9">
        <f>Customers!H14</f>
        <v/>
      </c>
      <c r="F14" s="66">
        <f>VLOOKUP(C14,Partners!A5:C16,3,FALSE())</f>
        <v/>
      </c>
      <c r="G14" s="67">
        <f>'CDE Calculator'!G15</f>
        <v/>
      </c>
      <c r="H14" s="67">
        <f>'CDE Calculator'!J15</f>
        <v/>
      </c>
      <c r="I14" s="111">
        <f>'CSI Calculator'!J15</f>
        <v/>
      </c>
      <c r="J14" s="69">
        <f>'CSI Calculator'!K15</f>
        <v/>
      </c>
      <c r="K14" s="69">
        <f>'ECS Calculator'!M14</f>
        <v/>
      </c>
      <c r="L14" s="70">
        <f>Customers!D14</f>
        <v/>
      </c>
      <c r="M14" s="71">
        <f>IF(ISNUMBER(I14),IF(I14&gt;='Weights &amp; Assumptions'!$B$45,'Weights &amp; Assumptions'!$B$31,IF(I14&gt;='Weights &amp; Assumptions'!$B$46,'Weights &amp; Assumptions'!$B$32,IF(I14&gt;='Weights &amp; Assumptions'!$B$47,'Weights &amp; Assumptions'!$B$33,'Weights &amp; Assumptions'!$B$34))),'Weights &amp; Assumptions'!$B$33)</f>
        <v/>
      </c>
      <c r="N14" s="70">
        <f>L14*M14</f>
        <v/>
      </c>
      <c r="O14" s="66">
        <f>IF(NOT(ISNUMBER(I14)),"Withheld",IF(AND(I14&gt;='Weights &amp; Assumptions'!$B$45,K14&gt;=0.8),"Excellent",IF(AND(I14&gt;='Weights &amp; Assumptions'!$B$46,K14&gt;=0.6),"Healthy",IF(OR(I14&lt;'Weights &amp; Assumptions'!$B$47,K14&lt;0.4),"Critical","At Risk"))))</f>
        <v/>
      </c>
    </row>
    <row r="15" ht="15" customHeight="1">
      <c r="A15" s="9">
        <f>Customers!A15</f>
        <v/>
      </c>
      <c r="B15" s="9">
        <f>Customers!B15</f>
        <v/>
      </c>
      <c r="C15" s="9">
        <f>Customers!F15</f>
        <v/>
      </c>
      <c r="D15" s="9">
        <f>Customers!G15</f>
        <v/>
      </c>
      <c r="E15" s="9">
        <f>Customers!H15</f>
        <v/>
      </c>
      <c r="F15" s="9">
        <f>VLOOKUP(C15,Partners!A5:C16,3,FALSE())</f>
        <v/>
      </c>
      <c r="G15" s="64">
        <f>'CDE Calculator'!G16</f>
        <v/>
      </c>
      <c r="H15" s="64">
        <f>'CDE Calculator'!J16</f>
        <v/>
      </c>
      <c r="I15" s="110">
        <f>'CSI Calculator'!J16</f>
        <v/>
      </c>
      <c r="J15" s="10">
        <f>'CSI Calculator'!K16</f>
        <v/>
      </c>
      <c r="K15" s="10">
        <f>'ECS Calculator'!M15</f>
        <v/>
      </c>
      <c r="L15" s="65">
        <f>Customers!D15</f>
        <v/>
      </c>
      <c r="M15" s="44">
        <f>IF(ISNUMBER(I15),IF(I15&gt;='Weights &amp; Assumptions'!$B$45,'Weights &amp; Assumptions'!$B$31,IF(I15&gt;='Weights &amp; Assumptions'!$B$46,'Weights &amp; Assumptions'!$B$32,IF(I15&gt;='Weights &amp; Assumptions'!$B$47,'Weights &amp; Assumptions'!$B$33,'Weights &amp; Assumptions'!$B$34))),'Weights &amp; Assumptions'!$B$33)</f>
        <v/>
      </c>
      <c r="N15" s="65">
        <f>L15*M15</f>
        <v/>
      </c>
      <c r="O15" s="9">
        <f>IF(NOT(ISNUMBER(I15)),"Withheld",IF(AND(I15&gt;='Weights &amp; Assumptions'!$B$45,K15&gt;=0.8),"Excellent",IF(AND(I15&gt;='Weights &amp; Assumptions'!$B$46,K15&gt;=0.6),"Healthy",IF(OR(I15&lt;'Weights &amp; Assumptions'!$B$47,K15&lt;0.4),"Critical","At Risk"))))</f>
        <v/>
      </c>
    </row>
    <row r="16" ht="15" customHeight="1">
      <c r="A16" s="66">
        <f>Customers!A16</f>
        <v/>
      </c>
      <c r="B16" s="66">
        <f>Customers!B16</f>
        <v/>
      </c>
      <c r="C16" s="66">
        <f>Customers!F16</f>
        <v/>
      </c>
      <c r="D16" s="9">
        <f>Customers!G16</f>
        <v/>
      </c>
      <c r="E16" s="9">
        <f>Customers!H16</f>
        <v/>
      </c>
      <c r="F16" s="66">
        <f>VLOOKUP(C16,Partners!A5:C16,3,FALSE())</f>
        <v/>
      </c>
      <c r="G16" s="67">
        <f>'CDE Calculator'!G17</f>
        <v/>
      </c>
      <c r="H16" s="67">
        <f>'CDE Calculator'!J17</f>
        <v/>
      </c>
      <c r="I16" s="111">
        <f>'CSI Calculator'!J17</f>
        <v/>
      </c>
      <c r="J16" s="69">
        <f>'CSI Calculator'!K17</f>
        <v/>
      </c>
      <c r="K16" s="69">
        <f>'ECS Calculator'!M16</f>
        <v/>
      </c>
      <c r="L16" s="70">
        <f>Customers!D16</f>
        <v/>
      </c>
      <c r="M16" s="71">
        <f>IF(ISNUMBER(I16),IF(I16&gt;='Weights &amp; Assumptions'!$B$45,'Weights &amp; Assumptions'!$B$31,IF(I16&gt;='Weights &amp; Assumptions'!$B$46,'Weights &amp; Assumptions'!$B$32,IF(I16&gt;='Weights &amp; Assumptions'!$B$47,'Weights &amp; Assumptions'!$B$33,'Weights &amp; Assumptions'!$B$34))),'Weights &amp; Assumptions'!$B$33)</f>
        <v/>
      </c>
      <c r="N16" s="70">
        <f>L16*M16</f>
        <v/>
      </c>
      <c r="O16" s="66">
        <f>IF(NOT(ISNUMBER(I16)),"Withheld",IF(AND(I16&gt;='Weights &amp; Assumptions'!$B$45,K16&gt;=0.8),"Excellent",IF(AND(I16&gt;='Weights &amp; Assumptions'!$B$46,K16&gt;=0.6),"Healthy",IF(OR(I16&lt;'Weights &amp; Assumptions'!$B$47,K16&lt;0.4),"Critical","At Risk"))))</f>
        <v/>
      </c>
    </row>
    <row r="18" ht="15" customHeight="1">
      <c r="A18" s="91" t="inlineStr">
        <is>
          <t>Portfolio Impact Summary</t>
        </is>
      </c>
    </row>
    <row r="19" ht="15" customHeight="1">
      <c r="A19" s="98" t="inlineStr">
        <is>
          <t>Total Portfolio ARR</t>
        </is>
      </c>
      <c r="F19" s="72">
        <f>SUM(L5:L16)</f>
        <v/>
      </c>
    </row>
    <row r="20" ht="15" customHeight="1">
      <c r="A20" s="98" t="inlineStr">
        <is>
          <t>Total Estimated LTV</t>
        </is>
      </c>
      <c r="F20" s="72">
        <f>SUM(N5:N16)</f>
        <v/>
      </c>
    </row>
    <row r="21" ht="15" customHeight="1">
      <c r="A21" s="98" t="inlineStr">
        <is>
          <t>Average LTV Multiple (LTV/ARR)</t>
        </is>
      </c>
      <c r="F21" s="37">
        <f>SUM(N5:N16)/SUM(L5:L16)</f>
        <v/>
      </c>
    </row>
    <row r="22" ht="15" customHeight="1">
      <c r="A22" s="98" t="inlineStr">
        <is>
          <t>Avg CDE Ratio</t>
        </is>
      </c>
      <c r="F22" s="37">
        <f>AVERAGE(G5:G16)</f>
        <v/>
      </c>
    </row>
    <row r="23" ht="15" customHeight="1">
      <c r="A23" s="98" t="inlineStr">
        <is>
          <t>Avg CSI (scored customers)</t>
        </is>
      </c>
      <c r="F23" s="36">
        <f>IF(COUNT(I5:I16)=0,"—",SUM(I5:I16)/COUNT(I5:I16))</f>
        <v/>
      </c>
    </row>
    <row r="24" ht="15" customHeight="1">
      <c r="A24" s="98" t="inlineStr">
        <is>
          <t>Avg ECS</t>
        </is>
      </c>
      <c r="F24" s="38">
        <f>AVERAGE(K5:K16)</f>
        <v/>
      </c>
    </row>
    <row r="25" ht="15" customHeight="1">
      <c r="A25" s="98" t="inlineStr">
        <is>
          <t>Excellent customers</t>
        </is>
      </c>
      <c r="F25" s="39">
        <f>COUNTIF(O5:O16,"Excellent")</f>
        <v/>
      </c>
    </row>
    <row r="26" ht="15" customHeight="1">
      <c r="A26" s="98" t="inlineStr">
        <is>
          <t>At Risk / Critical</t>
        </is>
      </c>
      <c r="F26" s="39">
        <f>COUNTIF(O5:O16,"At Risk")+COUNTIF(O5:O16,"Critical")</f>
        <v/>
      </c>
    </row>
    <row r="27" ht="15" customHeight="1">
      <c r="A27" s="98" t="inlineStr">
        <is>
          <t>LTV of Excellent</t>
        </is>
      </c>
      <c r="F27" s="72">
        <f>SUMPRODUCT((O5:O16="Excellent")*N5:N16)</f>
        <v/>
      </c>
    </row>
    <row r="28" ht="15" customHeight="1">
      <c r="A28" s="98" t="inlineStr">
        <is>
          <t>LTV of At Risk + Critical</t>
        </is>
      </c>
      <c r="F28" s="72">
        <f>SUMPRODUCT((O5:O16="At Risk")*N5:N16)+SUMPRODUCT((O5:O16="Critical")*N5:N16)</f>
        <v/>
      </c>
    </row>
  </sheetData>
  <mergeCells count="12">
    <mergeCell ref="A21:E21"/>
    <mergeCell ref="A20:E20"/>
    <mergeCell ref="A2:O2"/>
    <mergeCell ref="A26:E26"/>
    <mergeCell ref="A24:E24"/>
    <mergeCell ref="A28:E28"/>
    <mergeCell ref="A25:E25"/>
    <mergeCell ref="A19:E19"/>
    <mergeCell ref="A1:O1"/>
    <mergeCell ref="A23:E23"/>
    <mergeCell ref="A22:E22"/>
    <mergeCell ref="A27:E27"/>
  </mergeCells>
  <pageMargins left="0.75" right="0.75" top="1" bottom="1" header="0.511811023622047" footer="0.511811023622047"/>
  <pageSetup orientation="portrait" paperSize="9" horizontalDpi="300" verticalDpi="300"/>
</worksheet>
</file>

<file path=xl/worksheets/sheet16.xml><?xml version="1.0" encoding="utf-8"?>
<worksheet xmlns="http://schemas.openxmlformats.org/spreadsheetml/2006/main">
  <sheetPr>
    <tabColor rgb="FF7B2D8E"/>
    <outlinePr summaryBelow="1" summaryRight="1"/>
    <pageSetUpPr/>
  </sheetPr>
  <dimension ref="A1:P56"/>
  <sheetViews>
    <sheetView zoomScaleNormal="100" workbookViewId="0">
      <selection activeCell="A1" sqref="A1:N1"/>
    </sheetView>
  </sheetViews>
  <sheetFormatPr baseColWidth="8" defaultColWidth="8.7109375" defaultRowHeight="15"/>
  <cols>
    <col width="10" customWidth="1" min="1" max="1"/>
    <col width="22" customWidth="1" min="2" max="2"/>
    <col width="18" customWidth="1" min="3" max="3"/>
    <col width="12" customWidth="1" min="4" max="4"/>
    <col width="16" customWidth="1" min="5" max="7"/>
    <col width="14" customWidth="1" min="8" max="8"/>
    <col width="18" customWidth="1" min="9" max="9"/>
    <col width="12" customWidth="1" min="10" max="10"/>
    <col width="18" customWidth="1" min="11" max="11"/>
    <col width="16" customWidth="1" min="12" max="12"/>
    <col width="18" customWidth="1" min="13" max="13"/>
    <col width="10" customWidth="1" min="14" max="14"/>
  </cols>
  <sheetData>
    <row r="1" ht="17.25" customHeight="1">
      <c r="A1" s="93" t="inlineStr">
        <is>
          <t>Partner Value Attribution</t>
        </is>
      </c>
    </row>
    <row r="2" ht="15" customHeight="1">
      <c r="A2" s="94" t="inlineStr">
        <is>
          <t>Two views of each partner's contribution. Top: dollar terms — referral value, churn-prevention value, adoption-uplift value and internal reputation. Below (row 22): the lifecycle attribution layer — each customer's 15 weighted points shared out across the parties that produced the outcome. Partners who don't source deals can still be the most valuable.</t>
        </is>
      </c>
    </row>
    <row r="3" ht="15" customHeight="1">
      <c r="A3" s="57" t="inlineStr">
        <is>
          <t>Assumptions →</t>
        </is>
      </c>
      <c r="C3" s="57" t="inlineStr">
        <is>
          <t>Churn cost = 1yr ARR</t>
        </is>
      </c>
      <c r="F3" s="57" t="inlineStr">
        <is>
          <t>Adoption uplift = 15% ARR per 10pts adoption</t>
        </is>
      </c>
      <c r="J3" s="57" t="inlineStr">
        <is>
          <t>Expansion credit = partner's expansion eng quality / 10 × expansion ARR</t>
        </is>
      </c>
    </row>
    <row r="5" ht="39" customHeight="1">
      <c r="A5" s="5" t="inlineStr">
        <is>
          <t>Partner ID</t>
        </is>
      </c>
      <c r="B5" s="5" t="inlineStr">
        <is>
          <t>Partner Name</t>
        </is>
      </c>
      <c r="C5" s="5" t="inlineStr">
        <is>
          <t>Partner Type</t>
        </is>
      </c>
      <c r="D5" s="5" t="inlineStr">
        <is>
          <t>Deals Sourced</t>
        </is>
      </c>
      <c r="E5" s="5" t="inlineStr">
        <is>
          <t>Referral Revenue ($)</t>
        </is>
      </c>
      <c r="F5" s="5" t="inlineStr">
        <is>
          <t>Customers Supported Post-Sale</t>
        </is>
      </c>
      <c r="G5" s="5" t="inlineStr">
        <is>
          <t>ARR Protected ($)</t>
        </is>
      </c>
      <c r="H5" s="5" t="inlineStr">
        <is>
          <t>Avg Post-Sale Quality</t>
        </is>
      </c>
      <c r="I5" s="5" t="inlineStr">
        <is>
          <t>Adoption Uplift Value ($)</t>
        </is>
      </c>
      <c r="J5" s="5" t="inlineStr">
        <is>
          <t>Churn Saves (est.)</t>
        </is>
      </c>
      <c r="K5" s="5" t="inlineStr">
        <is>
          <t>Churn Prevention Value ($)</t>
        </is>
      </c>
      <c r="L5" s="5" t="inlineStr">
        <is>
          <t>Internal Reputation Score</t>
        </is>
      </c>
      <c r="M5" s="5" t="inlineStr">
        <is>
          <t>TOTAL Attributed Value ($)</t>
        </is>
      </c>
      <c r="N5" s="5" t="inlineStr">
        <is>
          <t>Value Rank</t>
        </is>
      </c>
    </row>
    <row r="6" ht="15" customHeight="1">
      <c r="A6" s="73" t="inlineStr">
        <is>
          <t>P009</t>
        </is>
      </c>
      <c r="B6" s="73" t="inlineStr">
        <is>
          <t>Northstar Advisory</t>
        </is>
      </c>
      <c r="C6" s="73" t="inlineStr">
        <is>
          <t>Embedded Advisor</t>
        </is>
      </c>
      <c r="D6" s="74">
        <f>COUNTIFS(Opportunities!E$5:E$38,A6,Opportunities!M$5:M$38,TRUE())</f>
        <v/>
      </c>
      <c r="E6" s="75">
        <f>SUMIFS(Opportunities!L$5:L$38,Opportunities!E$5:E$38,A6,Opportunities!M$5:M$38,TRUE())</f>
        <v/>
      </c>
      <c r="F6" s="74">
        <f>COUNTIFS(Engagements!D$5:D$106,A6,Engagements!F$5:F$106,"Retention")</f>
        <v/>
      </c>
      <c r="G6" s="75">
        <f>SUMIF(Customers!H$5:H$16,A6,Customers!D$5:D$16)</f>
        <v/>
      </c>
      <c r="H6" s="76">
        <f>IFERROR(AVERAGEIFS(Engagements!I$5:I$106,Engagements!D$5:D$106,A6,Engagements!F$5:F$106,"&lt;&gt;Acquisition",Engagements!F$5:F$106,"&lt;&gt;Onboarding"),0)</f>
        <v/>
      </c>
      <c r="I6" s="75">
        <f>ROUND(H6/10*'Weights &amp; Assumptions'!B29*G6,0)</f>
        <v/>
      </c>
      <c r="J6" s="74">
        <f>IFERROR(COUNTIFS('Internal Reputation'!E$5:E$25,A6,'Internal Reputation'!I$5:I$25,"Churn Prevention")+COUNTIFS('Internal Reputation'!E$5:E$25,A6,'Internal Reputation'!H$5:H$25,"Escalation Save")+COUNTIFS('Internal Reputation'!E$5:E$25,A6,'Internal Reputation'!H$5:H$25,"Renewal Attribution"),0)</f>
        <v/>
      </c>
      <c r="K6" s="75">
        <f>IFERROR(J6*G6/MAX(1,F6),0)</f>
        <v/>
      </c>
      <c r="L6" s="76">
        <f>IFERROR(COUNTIF('Internal Reputation'!E$5:E$25,A6)*AVERAGEIF('Internal Reputation'!E$5:E$25,A6,'Internal Reputation'!J$5:J$25),0)</f>
        <v/>
      </c>
      <c r="M6" s="75">
        <f>E6+I6+K6</f>
        <v/>
      </c>
      <c r="N6" s="74">
        <f>RANK(M6,M$6:M$13,0)</f>
        <v/>
      </c>
    </row>
    <row r="7" ht="15" customHeight="1">
      <c r="A7" s="20" t="inlineStr">
        <is>
          <t>P001</t>
        </is>
      </c>
      <c r="B7" s="20" t="inlineStr">
        <is>
          <t>Apex Consulting</t>
        </is>
      </c>
      <c r="C7" s="20" t="inlineStr">
        <is>
          <t>Advisory / Consulting</t>
        </is>
      </c>
      <c r="D7" s="61">
        <f>COUNTIFS(Opportunities!E$5:E$38,A7,Opportunities!M$5:M$38,TRUE())</f>
        <v/>
      </c>
      <c r="E7" s="77">
        <f>SUMIFS(Opportunities!L$5:L$38,Opportunities!E$5:E$38,A7,Opportunities!M$5:M$38,TRUE())</f>
        <v/>
      </c>
      <c r="F7" s="61">
        <f>COUNTIFS(Engagements!D$5:D$106,A7,Engagements!F$5:F$106,"Retention")</f>
        <v/>
      </c>
      <c r="G7" s="77">
        <f>SUMIF(Customers!H$5:H$16,A7,Customers!D$5:D$16)</f>
        <v/>
      </c>
      <c r="H7" s="22">
        <f>IFERROR(AVERAGEIFS(Engagements!I$5:I$106,Engagements!D$5:D$106,A7,Engagements!F$5:F$106,"&lt;&gt;Acquisition",Engagements!F$5:F$106,"&lt;&gt;Onboarding"),0)</f>
        <v/>
      </c>
      <c r="I7" s="77">
        <f>ROUND(H7/10*'Weights &amp; Assumptions'!B29*G7,0)</f>
        <v/>
      </c>
      <c r="J7" s="61">
        <f>IFERROR(COUNTIFS('Internal Reputation'!E$5:E$25,A7,'Internal Reputation'!I$5:I$25,"Churn Prevention")+COUNTIFS('Internal Reputation'!E$5:E$25,A7,'Internal Reputation'!H$5:H$25,"Escalation Save")+COUNTIFS('Internal Reputation'!E$5:E$25,A7,'Internal Reputation'!H$5:H$25,"Renewal Attribution"),0)</f>
        <v/>
      </c>
      <c r="K7" s="77">
        <f>IFERROR(J7*G7/MAX(1,F7),0)</f>
        <v/>
      </c>
      <c r="L7" s="22">
        <f>IFERROR(COUNTIF('Internal Reputation'!E$5:E$25,A7)*AVERAGEIF('Internal Reputation'!E$5:E$25,A7,'Internal Reputation'!J$5:J$25),0)</f>
        <v/>
      </c>
      <c r="M7" s="77">
        <f>E7+I7+K7</f>
        <v/>
      </c>
      <c r="N7" s="61">
        <f>RANK(M7,M$6:M$13,0)</f>
        <v/>
      </c>
    </row>
    <row r="8" ht="15" customHeight="1">
      <c r="A8" s="20" t="inlineStr">
        <is>
          <t>P007</t>
        </is>
      </c>
      <c r="B8" s="20" t="inlineStr">
        <is>
          <t>PrimeAdvisory Group</t>
        </is>
      </c>
      <c r="C8" s="20" t="inlineStr">
        <is>
          <t>Advisory / Consulting</t>
        </is>
      </c>
      <c r="D8" s="61">
        <f>COUNTIFS(Opportunities!E$5:E$38,A8,Opportunities!M$5:M$38,TRUE())</f>
        <v/>
      </c>
      <c r="E8" s="77">
        <f>SUMIFS(Opportunities!L$5:L$38,Opportunities!E$5:E$38,A8,Opportunities!M$5:M$38,TRUE())</f>
        <v/>
      </c>
      <c r="F8" s="61">
        <f>COUNTIFS(Engagements!D$5:D$106,A8,Engagements!F$5:F$106,"Retention")</f>
        <v/>
      </c>
      <c r="G8" s="77">
        <f>SUMIF(Customers!H$5:H$16,A8,Customers!D$5:D$16)</f>
        <v/>
      </c>
      <c r="H8" s="22">
        <f>IFERROR(AVERAGEIFS(Engagements!I$5:I$106,Engagements!D$5:D$106,A8,Engagements!F$5:F$106,"&lt;&gt;Acquisition",Engagements!F$5:F$106,"&lt;&gt;Onboarding"),0)</f>
        <v/>
      </c>
      <c r="I8" s="77">
        <f>ROUND(H8/10*'Weights &amp; Assumptions'!B29*G8,0)</f>
        <v/>
      </c>
      <c r="J8" s="61">
        <f>IFERROR(COUNTIFS('Internal Reputation'!E$5:E$25,A8,'Internal Reputation'!I$5:I$25,"Churn Prevention")+COUNTIFS('Internal Reputation'!E$5:E$25,A8,'Internal Reputation'!H$5:H$25,"Escalation Save")+COUNTIFS('Internal Reputation'!E$5:E$25,A8,'Internal Reputation'!H$5:H$25,"Renewal Attribution"),0)</f>
        <v/>
      </c>
      <c r="K8" s="77">
        <f>IFERROR(J8*G8/MAX(1,F8),0)</f>
        <v/>
      </c>
      <c r="L8" s="22">
        <f>IFERROR(COUNTIF('Internal Reputation'!E$5:E$25,A8)*AVERAGEIF('Internal Reputation'!E$5:E$25,A8,'Internal Reputation'!J$5:J$25),0)</f>
        <v/>
      </c>
      <c r="M8" s="77">
        <f>E8+I8+K8</f>
        <v/>
      </c>
      <c r="N8" s="61">
        <f>RANK(M8,M$6:M$13,0)</f>
        <v/>
      </c>
    </row>
    <row r="9" ht="15" customHeight="1">
      <c r="A9" s="20" t="inlineStr">
        <is>
          <t>P011</t>
        </is>
      </c>
      <c r="B9" s="20" t="inlineStr">
        <is>
          <t>TrueNorth Advisory</t>
        </is>
      </c>
      <c r="C9" s="20" t="inlineStr">
        <is>
          <t>Advisory / Consulting</t>
        </is>
      </c>
      <c r="D9" s="61">
        <f>COUNTIFS(Opportunities!E$5:E$38,A9,Opportunities!M$5:M$38,TRUE())</f>
        <v/>
      </c>
      <c r="E9" s="77">
        <f>SUMIFS(Opportunities!L$5:L$38,Opportunities!E$5:E$38,A9,Opportunities!M$5:M$38,TRUE())</f>
        <v/>
      </c>
      <c r="F9" s="61">
        <f>COUNTIFS(Engagements!D$5:D$106,A9,Engagements!F$5:F$106,"Retention")</f>
        <v/>
      </c>
      <c r="G9" s="77">
        <f>SUMIF(Customers!H$5:H$16,A9,Customers!D$5:D$16)</f>
        <v/>
      </c>
      <c r="H9" s="22">
        <f>IFERROR(AVERAGEIFS(Engagements!I$5:I$106,Engagements!D$5:D$106,A9,Engagements!F$5:F$106,"&lt;&gt;Acquisition",Engagements!F$5:F$106,"&lt;&gt;Onboarding"),0)</f>
        <v/>
      </c>
      <c r="I9" s="77">
        <f>ROUND(H9/10*'Weights &amp; Assumptions'!B29*G9,0)</f>
        <v/>
      </c>
      <c r="J9" s="61">
        <f>IFERROR(COUNTIFS('Internal Reputation'!E$5:E$25,A9,'Internal Reputation'!I$5:I$25,"Churn Prevention")+COUNTIFS('Internal Reputation'!E$5:E$25,A9,'Internal Reputation'!H$5:H$25,"Escalation Save")+COUNTIFS('Internal Reputation'!E$5:E$25,A9,'Internal Reputation'!H$5:H$25,"Renewal Attribution"),0)</f>
        <v/>
      </c>
      <c r="K9" s="77">
        <f>IFERROR(J9*G9/MAX(1,F9),0)</f>
        <v/>
      </c>
      <c r="L9" s="22">
        <f>IFERROR(COUNTIF('Internal Reputation'!E$5:E$25,A9)*AVERAGEIF('Internal Reputation'!E$5:E$25,A9,'Internal Reputation'!J$5:J$25),0)</f>
        <v/>
      </c>
      <c r="M9" s="77">
        <f>E9+I9+K9</f>
        <v/>
      </c>
      <c r="N9" s="61">
        <f>RANK(M9,M$6:M$13,0)</f>
        <v/>
      </c>
    </row>
    <row r="10" ht="15" customHeight="1">
      <c r="A10" s="20" t="inlineStr">
        <is>
          <t>P002</t>
        </is>
      </c>
      <c r="B10" s="20" t="inlineStr">
        <is>
          <t>CloudBridge Solutions</t>
        </is>
      </c>
      <c r="C10" s="20" t="inlineStr">
        <is>
          <t>Software / Integration</t>
        </is>
      </c>
      <c r="D10" s="61">
        <f>COUNTIFS(Opportunities!E$5:E$38,A10,Opportunities!M$5:M$38,TRUE())</f>
        <v/>
      </c>
      <c r="E10" s="77">
        <f>SUMIFS(Opportunities!L$5:L$38,Opportunities!E$5:E$38,A10,Opportunities!M$5:M$38,TRUE())</f>
        <v/>
      </c>
      <c r="F10" s="61">
        <f>COUNTIFS(Engagements!D$5:D$106,A10,Engagements!F$5:F$106,"Retention")</f>
        <v/>
      </c>
      <c r="G10" s="77">
        <f>SUMIF(Customers!H$5:H$16,A10,Customers!D$5:D$16)</f>
        <v/>
      </c>
      <c r="H10" s="22">
        <f>IFERROR(AVERAGEIFS(Engagements!I$5:I$106,Engagements!D$5:D$106,A10,Engagements!F$5:F$106,"&lt;&gt;Acquisition",Engagements!F$5:F$106,"&lt;&gt;Onboarding"),0)</f>
        <v/>
      </c>
      <c r="I10" s="77">
        <f>ROUND(H10/10*'Weights &amp; Assumptions'!B29*G10,0)</f>
        <v/>
      </c>
      <c r="J10" s="61">
        <f>IFERROR(COUNTIFS('Internal Reputation'!E$5:E$25,A10,'Internal Reputation'!I$5:I$25,"Churn Prevention")+COUNTIFS('Internal Reputation'!E$5:E$25,A10,'Internal Reputation'!H$5:H$25,"Escalation Save")+COUNTIFS('Internal Reputation'!E$5:E$25,A10,'Internal Reputation'!H$5:H$25,"Renewal Attribution"),0)</f>
        <v/>
      </c>
      <c r="K10" s="77">
        <f>IFERROR(J10*G10/MAX(1,F10),0)</f>
        <v/>
      </c>
      <c r="L10" s="22">
        <f>IFERROR(COUNTIF('Internal Reputation'!E$5:E$25,A10)*AVERAGEIF('Internal Reputation'!E$5:E$25,A10,'Internal Reputation'!J$5:J$25),0)</f>
        <v/>
      </c>
      <c r="M10" s="77">
        <f>E10+I10+K10</f>
        <v/>
      </c>
      <c r="N10" s="61">
        <f>RANK(M10,M$6:M$13,0)</f>
        <v/>
      </c>
    </row>
    <row r="11" ht="15" customHeight="1">
      <c r="A11" s="20" t="inlineStr">
        <is>
          <t>P003</t>
        </is>
      </c>
      <c r="B11" s="20" t="inlineStr">
        <is>
          <t>DataForce Services</t>
        </is>
      </c>
      <c r="C11" s="20" t="inlineStr">
        <is>
          <t>Delivery</t>
        </is>
      </c>
      <c r="D11" s="61">
        <f>COUNTIFS(Opportunities!E$5:E$38,A11,Opportunities!M$5:M$38,TRUE())</f>
        <v/>
      </c>
      <c r="E11" s="77">
        <f>SUMIFS(Opportunities!L$5:L$38,Opportunities!E$5:E$38,A11,Opportunities!M$5:M$38,TRUE())</f>
        <v/>
      </c>
      <c r="F11" s="61">
        <f>COUNTIFS(Engagements!D$5:D$106,A11,Engagements!F$5:F$106,"Retention")</f>
        <v/>
      </c>
      <c r="G11" s="77">
        <f>SUMIF(Customers!H$5:H$16,A11,Customers!D$5:D$16)</f>
        <v/>
      </c>
      <c r="H11" s="22">
        <f>IFERROR(AVERAGEIFS(Engagements!I$5:I$106,Engagements!D$5:D$106,A11,Engagements!F$5:F$106,"&lt;&gt;Acquisition",Engagements!F$5:F$106,"&lt;&gt;Onboarding"),0)</f>
        <v/>
      </c>
      <c r="I11" s="77">
        <f>ROUND(H11/10*'Weights &amp; Assumptions'!B29*G11,0)</f>
        <v/>
      </c>
      <c r="J11" s="61">
        <f>IFERROR(COUNTIFS('Internal Reputation'!E$5:E$25,A11,'Internal Reputation'!I$5:I$25,"Churn Prevention")+COUNTIFS('Internal Reputation'!E$5:E$25,A11,'Internal Reputation'!H$5:H$25,"Escalation Save")+COUNTIFS('Internal Reputation'!E$5:E$25,A11,'Internal Reputation'!H$5:H$25,"Renewal Attribution"),0)</f>
        <v/>
      </c>
      <c r="K11" s="77">
        <f>IFERROR(J11*G11/MAX(1,F11),0)</f>
        <v/>
      </c>
      <c r="L11" s="22">
        <f>IFERROR(COUNTIF('Internal Reputation'!E$5:E$25,A11)*AVERAGEIF('Internal Reputation'!E$5:E$25,A11,'Internal Reputation'!J$5:J$25),0)</f>
        <v/>
      </c>
      <c r="M11" s="77">
        <f>E11+I11+K11</f>
        <v/>
      </c>
      <c r="N11" s="61">
        <f>RANK(M11,M$6:M$13,0)</f>
        <v/>
      </c>
    </row>
    <row r="12" ht="15" customHeight="1">
      <c r="A12" s="20" t="inlineStr">
        <is>
          <t>P004</t>
        </is>
      </c>
      <c r="B12" s="20" t="inlineStr">
        <is>
          <t>EduTech Partners</t>
        </is>
      </c>
      <c r="C12" s="20" t="inlineStr">
        <is>
          <t>Training</t>
        </is>
      </c>
      <c r="D12" s="61">
        <f>COUNTIFS(Opportunities!E$5:E$38,A12,Opportunities!M$5:M$38,TRUE())</f>
        <v/>
      </c>
      <c r="E12" s="77">
        <f>SUMIFS(Opportunities!L$5:L$38,Opportunities!E$5:E$38,A12,Opportunities!M$5:M$38,TRUE())</f>
        <v/>
      </c>
      <c r="F12" s="61">
        <f>COUNTIFS(Engagements!D$5:D$106,A12,Engagements!F$5:F$106,"Retention")</f>
        <v/>
      </c>
      <c r="G12" s="77">
        <f>SUMIF(Customers!H$5:H$16,A12,Customers!D$5:D$16)</f>
        <v/>
      </c>
      <c r="H12" s="22">
        <f>IFERROR(AVERAGEIFS(Engagements!I$5:I$106,Engagements!D$5:D$106,A12,Engagements!F$5:F$106,"&lt;&gt;Acquisition",Engagements!F$5:F$106,"&lt;&gt;Onboarding"),0)</f>
        <v/>
      </c>
      <c r="I12" s="77">
        <f>ROUND(H12/10*'Weights &amp; Assumptions'!B29*G12,0)</f>
        <v/>
      </c>
      <c r="J12" s="61">
        <f>IFERROR(COUNTIFS('Internal Reputation'!E$5:E$25,A12,'Internal Reputation'!I$5:I$25,"Churn Prevention")+COUNTIFS('Internal Reputation'!E$5:E$25,A12,'Internal Reputation'!H$5:H$25,"Escalation Save")+COUNTIFS('Internal Reputation'!E$5:E$25,A12,'Internal Reputation'!H$5:H$25,"Renewal Attribution"),0)</f>
        <v/>
      </c>
      <c r="K12" s="77">
        <f>IFERROR(J12*G12/MAX(1,F12),0)</f>
        <v/>
      </c>
      <c r="L12" s="22">
        <f>IFERROR(COUNTIF('Internal Reputation'!E$5:E$25,A12)*AVERAGEIF('Internal Reputation'!E$5:E$25,A12,'Internal Reputation'!J$5:J$25),0)</f>
        <v/>
      </c>
      <c r="M12" s="77">
        <f>E12+I12+K12</f>
        <v/>
      </c>
      <c r="N12" s="61">
        <f>RANK(M12,M$6:M$13,0)</f>
        <v/>
      </c>
    </row>
    <row r="13" ht="15" customHeight="1">
      <c r="A13" s="20" t="inlineStr">
        <is>
          <t>P005</t>
        </is>
      </c>
      <c r="B13" s="20" t="inlineStr">
        <is>
          <t>ManagedOps Pro</t>
        </is>
      </c>
      <c r="C13" s="20" t="inlineStr">
        <is>
          <t>Managed Services</t>
        </is>
      </c>
      <c r="D13" s="61">
        <f>COUNTIFS(Opportunities!E$5:E$38,A13,Opportunities!M$5:M$38,TRUE())</f>
        <v/>
      </c>
      <c r="E13" s="77">
        <f>SUMIFS(Opportunities!L$5:L$38,Opportunities!E$5:E$38,A13,Opportunities!M$5:M$38,TRUE())</f>
        <v/>
      </c>
      <c r="F13" s="61">
        <f>COUNTIFS(Engagements!D$5:D$106,A13,Engagements!F$5:F$106,"Retention")</f>
        <v/>
      </c>
      <c r="G13" s="77">
        <f>SUMIF(Customers!H$5:H$16,A13,Customers!D$5:D$16)</f>
        <v/>
      </c>
      <c r="H13" s="22">
        <f>IFERROR(AVERAGEIFS(Engagements!I$5:I$106,Engagements!D$5:D$106,A13,Engagements!F$5:F$106,"&lt;&gt;Acquisition",Engagements!F$5:F$106,"&lt;&gt;Onboarding"),0)</f>
        <v/>
      </c>
      <c r="I13" s="77">
        <f>ROUND(H13/10*'Weights &amp; Assumptions'!B29*G13,0)</f>
        <v/>
      </c>
      <c r="J13" s="61">
        <f>IFERROR(COUNTIFS('Internal Reputation'!E$5:E$25,A13,'Internal Reputation'!I$5:I$25,"Churn Prevention")+COUNTIFS('Internal Reputation'!E$5:E$25,A13,'Internal Reputation'!H$5:H$25,"Escalation Save")+COUNTIFS('Internal Reputation'!E$5:E$25,A13,'Internal Reputation'!H$5:H$25,"Renewal Attribution"),0)</f>
        <v/>
      </c>
      <c r="K13" s="77">
        <f>IFERROR(J13*G13/MAX(1,F13),0)</f>
        <v/>
      </c>
      <c r="L13" s="22">
        <f>IFERROR(COUNTIF('Internal Reputation'!E$5:E$25,A13)*AVERAGEIF('Internal Reputation'!E$5:E$25,A13,'Internal Reputation'!J$5:J$25),0)</f>
        <v/>
      </c>
      <c r="M13" s="77">
        <f>E13+I13+K13</f>
        <v/>
      </c>
      <c r="N13" s="61">
        <f>RANK(M13,M$6:M$13,0)</f>
        <v/>
      </c>
    </row>
    <row r="15" ht="15" customHeight="1">
      <c r="A15" s="91" t="inlineStr">
        <is>
          <t>The Embedded Advisor Insight</t>
        </is>
      </c>
    </row>
    <row r="16" ht="15" customHeight="1">
      <c r="A16" s="99" t="inlineStr">
        <is>
          <t>Traditional view (deals sourced):</t>
        </is>
      </c>
      <c r="B16" s="102" t="n"/>
      <c r="C16" s="103" t="n"/>
      <c r="D16" s="100">
        <f>A6&amp;" ("&amp;B6&amp;") sourced "&amp;D6&amp;" deals and would be UNRANKED in a pipeline-based system"</f>
        <v/>
      </c>
      <c r="E16" s="102" t="n"/>
      <c r="F16" s="102" t="n"/>
      <c r="G16" s="102" t="n"/>
      <c r="H16" s="102" t="n"/>
      <c r="I16" s="102" t="n"/>
      <c r="J16" s="102" t="n"/>
      <c r="K16" s="102" t="n"/>
      <c r="L16" s="102" t="n"/>
      <c r="M16" s="102" t="n"/>
      <c r="N16" s="103" t="n"/>
    </row>
    <row r="17" ht="15" customHeight="1">
      <c r="A17" s="99" t="inlineStr">
        <is>
          <t>Customer-first view (total value):</t>
        </is>
      </c>
      <c r="B17" s="102" t="n"/>
      <c r="C17" s="103" t="n"/>
      <c r="D17" s="100">
        <f>"Yet their total attributed value is "&amp;TEXT(M6,"$#,##0")&amp;" — rank #"&amp;N6&amp;" across all partners"</f>
        <v/>
      </c>
      <c r="E17" s="102" t="n"/>
      <c r="F17" s="102" t="n"/>
      <c r="G17" s="102" t="n"/>
      <c r="H17" s="102" t="n"/>
      <c r="I17" s="102" t="n"/>
      <c r="J17" s="102" t="n"/>
      <c r="K17" s="102" t="n"/>
      <c r="L17" s="102" t="n"/>
      <c r="M17" s="102" t="n"/>
      <c r="N17" s="103" t="n"/>
    </row>
    <row r="18" ht="15" customHeight="1">
      <c r="A18" s="99" t="inlineStr">
        <is>
          <t>Why this matters:</t>
        </is>
      </c>
      <c r="B18" s="102" t="n"/>
      <c r="C18" s="103" t="n"/>
      <c r="D18" s="100">
        <f>B6&amp;" protects "&amp;TEXT(G6,"$#,##0")&amp;" in ARR through post-sale advisory work. They prevent "&amp;J6&amp;" estimated churns worth "&amp;TEXT(K6,"$#,##0")&amp;" and drive "&amp;TEXT(I6,"$#,##0")&amp;" in adoption uplift."</f>
        <v/>
      </c>
      <c r="E18" s="102" t="n"/>
      <c r="F18" s="102" t="n"/>
      <c r="G18" s="102" t="n"/>
      <c r="H18" s="102" t="n"/>
      <c r="I18" s="102" t="n"/>
      <c r="J18" s="102" t="n"/>
      <c r="K18" s="102" t="n"/>
      <c r="L18" s="102" t="n"/>
      <c r="M18" s="102" t="n"/>
      <c r="N18" s="103" t="n"/>
    </row>
    <row r="19" ht="23.25" customHeight="1">
      <c r="A19" s="99" t="inlineStr">
        <is>
          <t>The invisible partner problem:</t>
        </is>
      </c>
      <c r="B19" s="102" t="n"/>
      <c r="C19" s="103" t="n"/>
      <c r="D19" s="101" t="inlineStr">
        <is>
          <t>Partners like Northstar are invisible on traditional dashboards because they source zero pipeline. But they are the most-praised partner internally, they prevent churn on your highest-value accounts, and their removal would put multiple renewals at risk. The customer-first framework makes this visible.</t>
        </is>
      </c>
      <c r="E19" s="102" t="n"/>
      <c r="F19" s="102" t="n"/>
      <c r="G19" s="102" t="n"/>
      <c r="H19" s="102" t="n"/>
      <c r="I19" s="102" t="n"/>
      <c r="J19" s="102" t="n"/>
      <c r="K19" s="102" t="n"/>
      <c r="L19" s="102" t="n"/>
      <c r="M19" s="102" t="n"/>
      <c r="N19" s="103" t="n"/>
    </row>
    <row r="20" ht="15" customHeight="1">
      <c r="A20" s="99" t="inlineStr">
        <is>
          <t>Recommendation:</t>
        </is>
      </c>
      <c r="B20" s="102" t="n"/>
      <c r="C20" s="103" t="n"/>
      <c r="D20" s="100">
        <f>"Create an Embedded Advisor tier. "&amp;B6&amp;" should receive investment, executive access, and recognition proportional to their "&amp;TEXT(M6,"$#,##0")&amp;" attributed value — not their $0 pipeline contribution."</f>
        <v/>
      </c>
      <c r="E20" s="102" t="n"/>
      <c r="F20" s="102" t="n"/>
      <c r="G20" s="102" t="n"/>
      <c r="H20" s="102" t="n"/>
      <c r="I20" s="102" t="n"/>
      <c r="J20" s="102" t="n"/>
      <c r="K20" s="102" t="n"/>
      <c r="L20" s="102" t="n"/>
      <c r="M20" s="102" t="n"/>
      <c r="N20" s="103" t="n"/>
    </row>
    <row r="22">
      <c r="A22" s="91" t="inlineStr">
        <is>
          <t>Lifecycle attribution — 15 weighted points per customer</t>
        </is>
      </c>
    </row>
    <row r="23" ht="64" customHeight="1">
      <c r="A23" s="101" t="inlineStr">
        <is>
          <t>Each customer has 15 points to share out: Acquisition ×1 · Onboarding ×2 · Adoption ×3 · Retention ×4 · Expansion ×3 · Advocacy ×2 (weights on Weights &amp; Assumptions). A stage's points go to the parties with engagements at that stage, in proportion to their engagements; acquisition goes to the referral partner when no acquisition engagement is logged. Points nobody earns stay unallocated: a stage with no party present is a finding, not a zero. A party present only at acquisition can earn at most one point of fifteen. Customer Outcome Intelligence v1.0 (September 2026) — definitions at https://www.entwineapp.io/metrics.</t>
        </is>
      </c>
      <c r="B23" s="102" t="n"/>
      <c r="C23" s="102" t="n"/>
      <c r="D23" s="102" t="n"/>
      <c r="E23" s="102" t="n"/>
      <c r="F23" s="102" t="n"/>
      <c r="G23" s="102" t="n"/>
      <c r="H23" s="102" t="n"/>
      <c r="I23" s="102" t="n"/>
      <c r="J23" s="102" t="n"/>
      <c r="K23" s="102" t="n"/>
      <c r="L23" s="102" t="n"/>
      <c r="M23" s="102" t="n"/>
      <c r="N23" s="103" t="n"/>
    </row>
    <row r="24">
      <c r="A24" s="5" t="inlineStr">
        <is>
          <t>Customer ID</t>
        </is>
      </c>
      <c r="B24" s="5" t="inlineStr">
        <is>
          <t>Customer</t>
        </is>
      </c>
      <c r="C24" s="5" t="inlineStr">
        <is>
          <t>P001</t>
        </is>
      </c>
      <c r="D24" s="5" t="inlineStr">
        <is>
          <t>P002</t>
        </is>
      </c>
      <c r="E24" s="5" t="inlineStr">
        <is>
          <t>P003</t>
        </is>
      </c>
      <c r="F24" s="5" t="inlineStr">
        <is>
          <t>P004</t>
        </is>
      </c>
      <c r="G24" s="5" t="inlineStr">
        <is>
          <t>P005</t>
        </is>
      </c>
      <c r="H24" s="5" t="inlineStr">
        <is>
          <t>P006</t>
        </is>
      </c>
      <c r="I24" s="5" t="inlineStr">
        <is>
          <t>P007</t>
        </is>
      </c>
      <c r="J24" s="5" t="inlineStr">
        <is>
          <t>P008</t>
        </is>
      </c>
      <c r="K24" s="5" t="inlineStr">
        <is>
          <t>P009</t>
        </is>
      </c>
      <c r="L24" s="5" t="inlineStr">
        <is>
          <t>P010</t>
        </is>
      </c>
      <c r="M24" s="5" t="inlineStr">
        <is>
          <t>P011</t>
        </is>
      </c>
      <c r="N24" s="5" t="inlineStr">
        <is>
          <t>P012</t>
        </is>
      </c>
      <c r="O24" s="5" t="inlineStr">
        <is>
          <t>Allocated (of 15)</t>
        </is>
      </c>
      <c r="P24" s="5" t="inlineStr">
        <is>
          <t>Unallocated</t>
        </is>
      </c>
    </row>
    <row r="25">
      <c r="A25" s="73">
        <f>Customers!A5</f>
        <v/>
      </c>
      <c r="B25" s="73">
        <f>Customers!B5</f>
        <v/>
      </c>
      <c r="C25" s="112">
        <f>'Weights &amp; Assumptions'!$B$6*COUNTIFS(Engagements!$B$5:$B$106,$A25,Engagements!$D$5:$D$106,C$24,Engagements!$F$5:$F$106,'Weights &amp; Assumptions'!$A$6)/MAX(1,COUNTIFS(Engagements!$B$5:$B$106,$A25,Engagements!$F$5:$F$106,'Weights &amp; Assumptions'!$A$6))+'Weights &amp; Assumptions'!$B$7*COUNTIFS(Engagements!$B$5:$B$106,$A25,Engagements!$D$5:$D$106,C$24,Engagements!$F$5:$F$106,'Weights &amp; Assumptions'!$A$7)/MAX(1,COUNTIFS(Engagements!$B$5:$B$106,$A25,Engagements!$F$5:$F$106,'Weights &amp; Assumptions'!$A$7))+'Weights &amp; Assumptions'!$B$8*COUNTIFS(Engagements!$B$5:$B$106,$A25,Engagements!$D$5:$D$106,C$24,Engagements!$F$5:$F$106,'Weights &amp; Assumptions'!$A$8)/MAX(1,COUNTIFS(Engagements!$B$5:$B$106,$A25,Engagements!$F$5:$F$106,'Weights &amp; Assumptions'!$A$8))+'Weights &amp; Assumptions'!$B$9*COUNTIFS(Engagements!$B$5:$B$106,$A25,Engagements!$D$5:$D$106,C$24,Engagements!$F$5:$F$106,'Weights &amp; Assumptions'!$A$9)/MAX(1,COUNTIFS(Engagements!$B$5:$B$106,$A25,Engagements!$F$5:$F$106,'Weights &amp; Assumptions'!$A$9))+'Weights &amp; Assumptions'!$B$10*COUNTIFS(Engagements!$B$5:$B$106,$A25,Engagements!$D$5:$D$106,C$24,Engagements!$F$5:$F$106,'Weights &amp; Assumptions'!$A$10)/MAX(1,COUNTIFS(Engagements!$B$5:$B$106,$A25,Engagements!$F$5:$F$106,'Weights &amp; Assumptions'!$A$10))+'Weights &amp; Assumptions'!$B$11*COUNTIFS(Engagements!$B$5:$B$106,$A25,Engagements!$D$5:$D$106,C$24,Engagements!$F$5:$F$106,'Weights &amp; Assumptions'!$A$11)/MAX(1,COUNTIFS(Engagements!$B$5:$B$106,$A25,Engagements!$F$5:$F$106,'Weights &amp; Assumptions'!$A$11))+'Weights &amp; Assumptions'!$B$6*(COUNTIFS(Engagements!$B$5:$B$106,$A25,Engagements!$F$5:$F$106,"Acquisition")=0)*(VLOOKUP($A25,Customers!$A$5:$F$16,6,FALSE)=C$24)</f>
        <v/>
      </c>
      <c r="D25" s="112">
        <f>'Weights &amp; Assumptions'!$B$6*COUNTIFS(Engagements!$B$5:$B$106,$A25,Engagements!$D$5:$D$106,D$24,Engagements!$F$5:$F$106,'Weights &amp; Assumptions'!$A$6)/MAX(1,COUNTIFS(Engagements!$B$5:$B$106,$A25,Engagements!$F$5:$F$106,'Weights &amp; Assumptions'!$A$6))+'Weights &amp; Assumptions'!$B$7*COUNTIFS(Engagements!$B$5:$B$106,$A25,Engagements!$D$5:$D$106,D$24,Engagements!$F$5:$F$106,'Weights &amp; Assumptions'!$A$7)/MAX(1,COUNTIFS(Engagements!$B$5:$B$106,$A25,Engagements!$F$5:$F$106,'Weights &amp; Assumptions'!$A$7))+'Weights &amp; Assumptions'!$B$8*COUNTIFS(Engagements!$B$5:$B$106,$A25,Engagements!$D$5:$D$106,D$24,Engagements!$F$5:$F$106,'Weights &amp; Assumptions'!$A$8)/MAX(1,COUNTIFS(Engagements!$B$5:$B$106,$A25,Engagements!$F$5:$F$106,'Weights &amp; Assumptions'!$A$8))+'Weights &amp; Assumptions'!$B$9*COUNTIFS(Engagements!$B$5:$B$106,$A25,Engagements!$D$5:$D$106,D$24,Engagements!$F$5:$F$106,'Weights &amp; Assumptions'!$A$9)/MAX(1,COUNTIFS(Engagements!$B$5:$B$106,$A25,Engagements!$F$5:$F$106,'Weights &amp; Assumptions'!$A$9))+'Weights &amp; Assumptions'!$B$10*COUNTIFS(Engagements!$B$5:$B$106,$A25,Engagements!$D$5:$D$106,D$24,Engagements!$F$5:$F$106,'Weights &amp; Assumptions'!$A$10)/MAX(1,COUNTIFS(Engagements!$B$5:$B$106,$A25,Engagements!$F$5:$F$106,'Weights &amp; Assumptions'!$A$10))+'Weights &amp; Assumptions'!$B$11*COUNTIFS(Engagements!$B$5:$B$106,$A25,Engagements!$D$5:$D$106,D$24,Engagements!$F$5:$F$106,'Weights &amp; Assumptions'!$A$11)/MAX(1,COUNTIFS(Engagements!$B$5:$B$106,$A25,Engagements!$F$5:$F$106,'Weights &amp; Assumptions'!$A$11))+'Weights &amp; Assumptions'!$B$6*(COUNTIFS(Engagements!$B$5:$B$106,$A25,Engagements!$F$5:$F$106,"Acquisition")=0)*(VLOOKUP($A25,Customers!$A$5:$F$16,6,FALSE)=D$24)</f>
        <v/>
      </c>
      <c r="E25" s="112">
        <f>'Weights &amp; Assumptions'!$B$6*COUNTIFS(Engagements!$B$5:$B$106,$A25,Engagements!$D$5:$D$106,E$24,Engagements!$F$5:$F$106,'Weights &amp; Assumptions'!$A$6)/MAX(1,COUNTIFS(Engagements!$B$5:$B$106,$A25,Engagements!$F$5:$F$106,'Weights &amp; Assumptions'!$A$6))+'Weights &amp; Assumptions'!$B$7*COUNTIFS(Engagements!$B$5:$B$106,$A25,Engagements!$D$5:$D$106,E$24,Engagements!$F$5:$F$106,'Weights &amp; Assumptions'!$A$7)/MAX(1,COUNTIFS(Engagements!$B$5:$B$106,$A25,Engagements!$F$5:$F$106,'Weights &amp; Assumptions'!$A$7))+'Weights &amp; Assumptions'!$B$8*COUNTIFS(Engagements!$B$5:$B$106,$A25,Engagements!$D$5:$D$106,E$24,Engagements!$F$5:$F$106,'Weights &amp; Assumptions'!$A$8)/MAX(1,COUNTIFS(Engagements!$B$5:$B$106,$A25,Engagements!$F$5:$F$106,'Weights &amp; Assumptions'!$A$8))+'Weights &amp; Assumptions'!$B$9*COUNTIFS(Engagements!$B$5:$B$106,$A25,Engagements!$D$5:$D$106,E$24,Engagements!$F$5:$F$106,'Weights &amp; Assumptions'!$A$9)/MAX(1,COUNTIFS(Engagements!$B$5:$B$106,$A25,Engagements!$F$5:$F$106,'Weights &amp; Assumptions'!$A$9))+'Weights &amp; Assumptions'!$B$10*COUNTIFS(Engagements!$B$5:$B$106,$A25,Engagements!$D$5:$D$106,E$24,Engagements!$F$5:$F$106,'Weights &amp; Assumptions'!$A$10)/MAX(1,COUNTIFS(Engagements!$B$5:$B$106,$A25,Engagements!$F$5:$F$106,'Weights &amp; Assumptions'!$A$10))+'Weights &amp; Assumptions'!$B$11*COUNTIFS(Engagements!$B$5:$B$106,$A25,Engagements!$D$5:$D$106,E$24,Engagements!$F$5:$F$106,'Weights &amp; Assumptions'!$A$11)/MAX(1,COUNTIFS(Engagements!$B$5:$B$106,$A25,Engagements!$F$5:$F$106,'Weights &amp; Assumptions'!$A$11))+'Weights &amp; Assumptions'!$B$6*(COUNTIFS(Engagements!$B$5:$B$106,$A25,Engagements!$F$5:$F$106,"Acquisition")=0)*(VLOOKUP($A25,Customers!$A$5:$F$16,6,FALSE)=E$24)</f>
        <v/>
      </c>
      <c r="F25" s="112">
        <f>'Weights &amp; Assumptions'!$B$6*COUNTIFS(Engagements!$B$5:$B$106,$A25,Engagements!$D$5:$D$106,F$24,Engagements!$F$5:$F$106,'Weights &amp; Assumptions'!$A$6)/MAX(1,COUNTIFS(Engagements!$B$5:$B$106,$A25,Engagements!$F$5:$F$106,'Weights &amp; Assumptions'!$A$6))+'Weights &amp; Assumptions'!$B$7*COUNTIFS(Engagements!$B$5:$B$106,$A25,Engagements!$D$5:$D$106,F$24,Engagements!$F$5:$F$106,'Weights &amp; Assumptions'!$A$7)/MAX(1,COUNTIFS(Engagements!$B$5:$B$106,$A25,Engagements!$F$5:$F$106,'Weights &amp; Assumptions'!$A$7))+'Weights &amp; Assumptions'!$B$8*COUNTIFS(Engagements!$B$5:$B$106,$A25,Engagements!$D$5:$D$106,F$24,Engagements!$F$5:$F$106,'Weights &amp; Assumptions'!$A$8)/MAX(1,COUNTIFS(Engagements!$B$5:$B$106,$A25,Engagements!$F$5:$F$106,'Weights &amp; Assumptions'!$A$8))+'Weights &amp; Assumptions'!$B$9*COUNTIFS(Engagements!$B$5:$B$106,$A25,Engagements!$D$5:$D$106,F$24,Engagements!$F$5:$F$106,'Weights &amp; Assumptions'!$A$9)/MAX(1,COUNTIFS(Engagements!$B$5:$B$106,$A25,Engagements!$F$5:$F$106,'Weights &amp; Assumptions'!$A$9))+'Weights &amp; Assumptions'!$B$10*COUNTIFS(Engagements!$B$5:$B$106,$A25,Engagements!$D$5:$D$106,F$24,Engagements!$F$5:$F$106,'Weights &amp; Assumptions'!$A$10)/MAX(1,COUNTIFS(Engagements!$B$5:$B$106,$A25,Engagements!$F$5:$F$106,'Weights &amp; Assumptions'!$A$10))+'Weights &amp; Assumptions'!$B$11*COUNTIFS(Engagements!$B$5:$B$106,$A25,Engagements!$D$5:$D$106,F$24,Engagements!$F$5:$F$106,'Weights &amp; Assumptions'!$A$11)/MAX(1,COUNTIFS(Engagements!$B$5:$B$106,$A25,Engagements!$F$5:$F$106,'Weights &amp; Assumptions'!$A$11))+'Weights &amp; Assumptions'!$B$6*(COUNTIFS(Engagements!$B$5:$B$106,$A25,Engagements!$F$5:$F$106,"Acquisition")=0)*(VLOOKUP($A25,Customers!$A$5:$F$16,6,FALSE)=F$24)</f>
        <v/>
      </c>
      <c r="G25" s="112">
        <f>'Weights &amp; Assumptions'!$B$6*COUNTIFS(Engagements!$B$5:$B$106,$A25,Engagements!$D$5:$D$106,G$24,Engagements!$F$5:$F$106,'Weights &amp; Assumptions'!$A$6)/MAX(1,COUNTIFS(Engagements!$B$5:$B$106,$A25,Engagements!$F$5:$F$106,'Weights &amp; Assumptions'!$A$6))+'Weights &amp; Assumptions'!$B$7*COUNTIFS(Engagements!$B$5:$B$106,$A25,Engagements!$D$5:$D$106,G$24,Engagements!$F$5:$F$106,'Weights &amp; Assumptions'!$A$7)/MAX(1,COUNTIFS(Engagements!$B$5:$B$106,$A25,Engagements!$F$5:$F$106,'Weights &amp; Assumptions'!$A$7))+'Weights &amp; Assumptions'!$B$8*COUNTIFS(Engagements!$B$5:$B$106,$A25,Engagements!$D$5:$D$106,G$24,Engagements!$F$5:$F$106,'Weights &amp; Assumptions'!$A$8)/MAX(1,COUNTIFS(Engagements!$B$5:$B$106,$A25,Engagements!$F$5:$F$106,'Weights &amp; Assumptions'!$A$8))+'Weights &amp; Assumptions'!$B$9*COUNTIFS(Engagements!$B$5:$B$106,$A25,Engagements!$D$5:$D$106,G$24,Engagements!$F$5:$F$106,'Weights &amp; Assumptions'!$A$9)/MAX(1,COUNTIFS(Engagements!$B$5:$B$106,$A25,Engagements!$F$5:$F$106,'Weights &amp; Assumptions'!$A$9))+'Weights &amp; Assumptions'!$B$10*COUNTIFS(Engagements!$B$5:$B$106,$A25,Engagements!$D$5:$D$106,G$24,Engagements!$F$5:$F$106,'Weights &amp; Assumptions'!$A$10)/MAX(1,COUNTIFS(Engagements!$B$5:$B$106,$A25,Engagements!$F$5:$F$106,'Weights &amp; Assumptions'!$A$10))+'Weights &amp; Assumptions'!$B$11*COUNTIFS(Engagements!$B$5:$B$106,$A25,Engagements!$D$5:$D$106,G$24,Engagements!$F$5:$F$106,'Weights &amp; Assumptions'!$A$11)/MAX(1,COUNTIFS(Engagements!$B$5:$B$106,$A25,Engagements!$F$5:$F$106,'Weights &amp; Assumptions'!$A$11))+'Weights &amp; Assumptions'!$B$6*(COUNTIFS(Engagements!$B$5:$B$106,$A25,Engagements!$F$5:$F$106,"Acquisition")=0)*(VLOOKUP($A25,Customers!$A$5:$F$16,6,FALSE)=G$24)</f>
        <v/>
      </c>
      <c r="H25" s="112">
        <f>'Weights &amp; Assumptions'!$B$6*COUNTIFS(Engagements!$B$5:$B$106,$A25,Engagements!$D$5:$D$106,H$24,Engagements!$F$5:$F$106,'Weights &amp; Assumptions'!$A$6)/MAX(1,COUNTIFS(Engagements!$B$5:$B$106,$A25,Engagements!$F$5:$F$106,'Weights &amp; Assumptions'!$A$6))+'Weights &amp; Assumptions'!$B$7*COUNTIFS(Engagements!$B$5:$B$106,$A25,Engagements!$D$5:$D$106,H$24,Engagements!$F$5:$F$106,'Weights &amp; Assumptions'!$A$7)/MAX(1,COUNTIFS(Engagements!$B$5:$B$106,$A25,Engagements!$F$5:$F$106,'Weights &amp; Assumptions'!$A$7))+'Weights &amp; Assumptions'!$B$8*COUNTIFS(Engagements!$B$5:$B$106,$A25,Engagements!$D$5:$D$106,H$24,Engagements!$F$5:$F$106,'Weights &amp; Assumptions'!$A$8)/MAX(1,COUNTIFS(Engagements!$B$5:$B$106,$A25,Engagements!$F$5:$F$106,'Weights &amp; Assumptions'!$A$8))+'Weights &amp; Assumptions'!$B$9*COUNTIFS(Engagements!$B$5:$B$106,$A25,Engagements!$D$5:$D$106,H$24,Engagements!$F$5:$F$106,'Weights &amp; Assumptions'!$A$9)/MAX(1,COUNTIFS(Engagements!$B$5:$B$106,$A25,Engagements!$F$5:$F$106,'Weights &amp; Assumptions'!$A$9))+'Weights &amp; Assumptions'!$B$10*COUNTIFS(Engagements!$B$5:$B$106,$A25,Engagements!$D$5:$D$106,H$24,Engagements!$F$5:$F$106,'Weights &amp; Assumptions'!$A$10)/MAX(1,COUNTIFS(Engagements!$B$5:$B$106,$A25,Engagements!$F$5:$F$106,'Weights &amp; Assumptions'!$A$10))+'Weights &amp; Assumptions'!$B$11*COUNTIFS(Engagements!$B$5:$B$106,$A25,Engagements!$D$5:$D$106,H$24,Engagements!$F$5:$F$106,'Weights &amp; Assumptions'!$A$11)/MAX(1,COUNTIFS(Engagements!$B$5:$B$106,$A25,Engagements!$F$5:$F$106,'Weights &amp; Assumptions'!$A$11))+'Weights &amp; Assumptions'!$B$6*(COUNTIFS(Engagements!$B$5:$B$106,$A25,Engagements!$F$5:$F$106,"Acquisition")=0)*(VLOOKUP($A25,Customers!$A$5:$F$16,6,FALSE)=H$24)</f>
        <v/>
      </c>
      <c r="I25" s="112">
        <f>'Weights &amp; Assumptions'!$B$6*COUNTIFS(Engagements!$B$5:$B$106,$A25,Engagements!$D$5:$D$106,I$24,Engagements!$F$5:$F$106,'Weights &amp; Assumptions'!$A$6)/MAX(1,COUNTIFS(Engagements!$B$5:$B$106,$A25,Engagements!$F$5:$F$106,'Weights &amp; Assumptions'!$A$6))+'Weights &amp; Assumptions'!$B$7*COUNTIFS(Engagements!$B$5:$B$106,$A25,Engagements!$D$5:$D$106,I$24,Engagements!$F$5:$F$106,'Weights &amp; Assumptions'!$A$7)/MAX(1,COUNTIFS(Engagements!$B$5:$B$106,$A25,Engagements!$F$5:$F$106,'Weights &amp; Assumptions'!$A$7))+'Weights &amp; Assumptions'!$B$8*COUNTIFS(Engagements!$B$5:$B$106,$A25,Engagements!$D$5:$D$106,I$24,Engagements!$F$5:$F$106,'Weights &amp; Assumptions'!$A$8)/MAX(1,COUNTIFS(Engagements!$B$5:$B$106,$A25,Engagements!$F$5:$F$106,'Weights &amp; Assumptions'!$A$8))+'Weights &amp; Assumptions'!$B$9*COUNTIFS(Engagements!$B$5:$B$106,$A25,Engagements!$D$5:$D$106,I$24,Engagements!$F$5:$F$106,'Weights &amp; Assumptions'!$A$9)/MAX(1,COUNTIFS(Engagements!$B$5:$B$106,$A25,Engagements!$F$5:$F$106,'Weights &amp; Assumptions'!$A$9))+'Weights &amp; Assumptions'!$B$10*COUNTIFS(Engagements!$B$5:$B$106,$A25,Engagements!$D$5:$D$106,I$24,Engagements!$F$5:$F$106,'Weights &amp; Assumptions'!$A$10)/MAX(1,COUNTIFS(Engagements!$B$5:$B$106,$A25,Engagements!$F$5:$F$106,'Weights &amp; Assumptions'!$A$10))+'Weights &amp; Assumptions'!$B$11*COUNTIFS(Engagements!$B$5:$B$106,$A25,Engagements!$D$5:$D$106,I$24,Engagements!$F$5:$F$106,'Weights &amp; Assumptions'!$A$11)/MAX(1,COUNTIFS(Engagements!$B$5:$B$106,$A25,Engagements!$F$5:$F$106,'Weights &amp; Assumptions'!$A$11))+'Weights &amp; Assumptions'!$B$6*(COUNTIFS(Engagements!$B$5:$B$106,$A25,Engagements!$F$5:$F$106,"Acquisition")=0)*(VLOOKUP($A25,Customers!$A$5:$F$16,6,FALSE)=I$24)</f>
        <v/>
      </c>
      <c r="J25" s="112">
        <f>'Weights &amp; Assumptions'!$B$6*COUNTIFS(Engagements!$B$5:$B$106,$A25,Engagements!$D$5:$D$106,J$24,Engagements!$F$5:$F$106,'Weights &amp; Assumptions'!$A$6)/MAX(1,COUNTIFS(Engagements!$B$5:$B$106,$A25,Engagements!$F$5:$F$106,'Weights &amp; Assumptions'!$A$6))+'Weights &amp; Assumptions'!$B$7*COUNTIFS(Engagements!$B$5:$B$106,$A25,Engagements!$D$5:$D$106,J$24,Engagements!$F$5:$F$106,'Weights &amp; Assumptions'!$A$7)/MAX(1,COUNTIFS(Engagements!$B$5:$B$106,$A25,Engagements!$F$5:$F$106,'Weights &amp; Assumptions'!$A$7))+'Weights &amp; Assumptions'!$B$8*COUNTIFS(Engagements!$B$5:$B$106,$A25,Engagements!$D$5:$D$106,J$24,Engagements!$F$5:$F$106,'Weights &amp; Assumptions'!$A$8)/MAX(1,COUNTIFS(Engagements!$B$5:$B$106,$A25,Engagements!$F$5:$F$106,'Weights &amp; Assumptions'!$A$8))+'Weights &amp; Assumptions'!$B$9*COUNTIFS(Engagements!$B$5:$B$106,$A25,Engagements!$D$5:$D$106,J$24,Engagements!$F$5:$F$106,'Weights &amp; Assumptions'!$A$9)/MAX(1,COUNTIFS(Engagements!$B$5:$B$106,$A25,Engagements!$F$5:$F$106,'Weights &amp; Assumptions'!$A$9))+'Weights &amp; Assumptions'!$B$10*COUNTIFS(Engagements!$B$5:$B$106,$A25,Engagements!$D$5:$D$106,J$24,Engagements!$F$5:$F$106,'Weights &amp; Assumptions'!$A$10)/MAX(1,COUNTIFS(Engagements!$B$5:$B$106,$A25,Engagements!$F$5:$F$106,'Weights &amp; Assumptions'!$A$10))+'Weights &amp; Assumptions'!$B$11*COUNTIFS(Engagements!$B$5:$B$106,$A25,Engagements!$D$5:$D$106,J$24,Engagements!$F$5:$F$106,'Weights &amp; Assumptions'!$A$11)/MAX(1,COUNTIFS(Engagements!$B$5:$B$106,$A25,Engagements!$F$5:$F$106,'Weights &amp; Assumptions'!$A$11))+'Weights &amp; Assumptions'!$B$6*(COUNTIFS(Engagements!$B$5:$B$106,$A25,Engagements!$F$5:$F$106,"Acquisition")=0)*(VLOOKUP($A25,Customers!$A$5:$F$16,6,FALSE)=J$24)</f>
        <v/>
      </c>
      <c r="K25" s="112">
        <f>'Weights &amp; Assumptions'!$B$6*COUNTIFS(Engagements!$B$5:$B$106,$A25,Engagements!$D$5:$D$106,K$24,Engagements!$F$5:$F$106,'Weights &amp; Assumptions'!$A$6)/MAX(1,COUNTIFS(Engagements!$B$5:$B$106,$A25,Engagements!$F$5:$F$106,'Weights &amp; Assumptions'!$A$6))+'Weights &amp; Assumptions'!$B$7*COUNTIFS(Engagements!$B$5:$B$106,$A25,Engagements!$D$5:$D$106,K$24,Engagements!$F$5:$F$106,'Weights &amp; Assumptions'!$A$7)/MAX(1,COUNTIFS(Engagements!$B$5:$B$106,$A25,Engagements!$F$5:$F$106,'Weights &amp; Assumptions'!$A$7))+'Weights &amp; Assumptions'!$B$8*COUNTIFS(Engagements!$B$5:$B$106,$A25,Engagements!$D$5:$D$106,K$24,Engagements!$F$5:$F$106,'Weights &amp; Assumptions'!$A$8)/MAX(1,COUNTIFS(Engagements!$B$5:$B$106,$A25,Engagements!$F$5:$F$106,'Weights &amp; Assumptions'!$A$8))+'Weights &amp; Assumptions'!$B$9*COUNTIFS(Engagements!$B$5:$B$106,$A25,Engagements!$D$5:$D$106,K$24,Engagements!$F$5:$F$106,'Weights &amp; Assumptions'!$A$9)/MAX(1,COUNTIFS(Engagements!$B$5:$B$106,$A25,Engagements!$F$5:$F$106,'Weights &amp; Assumptions'!$A$9))+'Weights &amp; Assumptions'!$B$10*COUNTIFS(Engagements!$B$5:$B$106,$A25,Engagements!$D$5:$D$106,K$24,Engagements!$F$5:$F$106,'Weights &amp; Assumptions'!$A$10)/MAX(1,COUNTIFS(Engagements!$B$5:$B$106,$A25,Engagements!$F$5:$F$106,'Weights &amp; Assumptions'!$A$10))+'Weights &amp; Assumptions'!$B$11*COUNTIFS(Engagements!$B$5:$B$106,$A25,Engagements!$D$5:$D$106,K$24,Engagements!$F$5:$F$106,'Weights &amp; Assumptions'!$A$11)/MAX(1,COUNTIFS(Engagements!$B$5:$B$106,$A25,Engagements!$F$5:$F$106,'Weights &amp; Assumptions'!$A$11))+'Weights &amp; Assumptions'!$B$6*(COUNTIFS(Engagements!$B$5:$B$106,$A25,Engagements!$F$5:$F$106,"Acquisition")=0)*(VLOOKUP($A25,Customers!$A$5:$F$16,6,FALSE)=K$24)</f>
        <v/>
      </c>
      <c r="L25" s="112">
        <f>'Weights &amp; Assumptions'!$B$6*COUNTIFS(Engagements!$B$5:$B$106,$A25,Engagements!$D$5:$D$106,L$24,Engagements!$F$5:$F$106,'Weights &amp; Assumptions'!$A$6)/MAX(1,COUNTIFS(Engagements!$B$5:$B$106,$A25,Engagements!$F$5:$F$106,'Weights &amp; Assumptions'!$A$6))+'Weights &amp; Assumptions'!$B$7*COUNTIFS(Engagements!$B$5:$B$106,$A25,Engagements!$D$5:$D$106,L$24,Engagements!$F$5:$F$106,'Weights &amp; Assumptions'!$A$7)/MAX(1,COUNTIFS(Engagements!$B$5:$B$106,$A25,Engagements!$F$5:$F$106,'Weights &amp; Assumptions'!$A$7))+'Weights &amp; Assumptions'!$B$8*COUNTIFS(Engagements!$B$5:$B$106,$A25,Engagements!$D$5:$D$106,L$24,Engagements!$F$5:$F$106,'Weights &amp; Assumptions'!$A$8)/MAX(1,COUNTIFS(Engagements!$B$5:$B$106,$A25,Engagements!$F$5:$F$106,'Weights &amp; Assumptions'!$A$8))+'Weights &amp; Assumptions'!$B$9*COUNTIFS(Engagements!$B$5:$B$106,$A25,Engagements!$D$5:$D$106,L$24,Engagements!$F$5:$F$106,'Weights &amp; Assumptions'!$A$9)/MAX(1,COUNTIFS(Engagements!$B$5:$B$106,$A25,Engagements!$F$5:$F$106,'Weights &amp; Assumptions'!$A$9))+'Weights &amp; Assumptions'!$B$10*COUNTIFS(Engagements!$B$5:$B$106,$A25,Engagements!$D$5:$D$106,L$24,Engagements!$F$5:$F$106,'Weights &amp; Assumptions'!$A$10)/MAX(1,COUNTIFS(Engagements!$B$5:$B$106,$A25,Engagements!$F$5:$F$106,'Weights &amp; Assumptions'!$A$10))+'Weights &amp; Assumptions'!$B$11*COUNTIFS(Engagements!$B$5:$B$106,$A25,Engagements!$D$5:$D$106,L$24,Engagements!$F$5:$F$106,'Weights &amp; Assumptions'!$A$11)/MAX(1,COUNTIFS(Engagements!$B$5:$B$106,$A25,Engagements!$F$5:$F$106,'Weights &amp; Assumptions'!$A$11))+'Weights &amp; Assumptions'!$B$6*(COUNTIFS(Engagements!$B$5:$B$106,$A25,Engagements!$F$5:$F$106,"Acquisition")=0)*(VLOOKUP($A25,Customers!$A$5:$F$16,6,FALSE)=L$24)</f>
        <v/>
      </c>
      <c r="M25" s="112">
        <f>'Weights &amp; Assumptions'!$B$6*COUNTIFS(Engagements!$B$5:$B$106,$A25,Engagements!$D$5:$D$106,M$24,Engagements!$F$5:$F$106,'Weights &amp; Assumptions'!$A$6)/MAX(1,COUNTIFS(Engagements!$B$5:$B$106,$A25,Engagements!$F$5:$F$106,'Weights &amp; Assumptions'!$A$6))+'Weights &amp; Assumptions'!$B$7*COUNTIFS(Engagements!$B$5:$B$106,$A25,Engagements!$D$5:$D$106,M$24,Engagements!$F$5:$F$106,'Weights &amp; Assumptions'!$A$7)/MAX(1,COUNTIFS(Engagements!$B$5:$B$106,$A25,Engagements!$F$5:$F$106,'Weights &amp; Assumptions'!$A$7))+'Weights &amp; Assumptions'!$B$8*COUNTIFS(Engagements!$B$5:$B$106,$A25,Engagements!$D$5:$D$106,M$24,Engagements!$F$5:$F$106,'Weights &amp; Assumptions'!$A$8)/MAX(1,COUNTIFS(Engagements!$B$5:$B$106,$A25,Engagements!$F$5:$F$106,'Weights &amp; Assumptions'!$A$8))+'Weights &amp; Assumptions'!$B$9*COUNTIFS(Engagements!$B$5:$B$106,$A25,Engagements!$D$5:$D$106,M$24,Engagements!$F$5:$F$106,'Weights &amp; Assumptions'!$A$9)/MAX(1,COUNTIFS(Engagements!$B$5:$B$106,$A25,Engagements!$F$5:$F$106,'Weights &amp; Assumptions'!$A$9))+'Weights &amp; Assumptions'!$B$10*COUNTIFS(Engagements!$B$5:$B$106,$A25,Engagements!$D$5:$D$106,M$24,Engagements!$F$5:$F$106,'Weights &amp; Assumptions'!$A$10)/MAX(1,COUNTIFS(Engagements!$B$5:$B$106,$A25,Engagements!$F$5:$F$106,'Weights &amp; Assumptions'!$A$10))+'Weights &amp; Assumptions'!$B$11*COUNTIFS(Engagements!$B$5:$B$106,$A25,Engagements!$D$5:$D$106,M$24,Engagements!$F$5:$F$106,'Weights &amp; Assumptions'!$A$11)/MAX(1,COUNTIFS(Engagements!$B$5:$B$106,$A25,Engagements!$F$5:$F$106,'Weights &amp; Assumptions'!$A$11))+'Weights &amp; Assumptions'!$B$6*(COUNTIFS(Engagements!$B$5:$B$106,$A25,Engagements!$F$5:$F$106,"Acquisition")=0)*(VLOOKUP($A25,Customers!$A$5:$F$16,6,FALSE)=M$24)</f>
        <v/>
      </c>
      <c r="N25" s="112">
        <f>'Weights &amp; Assumptions'!$B$6*COUNTIFS(Engagements!$B$5:$B$106,$A25,Engagements!$D$5:$D$106,N$24,Engagements!$F$5:$F$106,'Weights &amp; Assumptions'!$A$6)/MAX(1,COUNTIFS(Engagements!$B$5:$B$106,$A25,Engagements!$F$5:$F$106,'Weights &amp; Assumptions'!$A$6))+'Weights &amp; Assumptions'!$B$7*COUNTIFS(Engagements!$B$5:$B$106,$A25,Engagements!$D$5:$D$106,N$24,Engagements!$F$5:$F$106,'Weights &amp; Assumptions'!$A$7)/MAX(1,COUNTIFS(Engagements!$B$5:$B$106,$A25,Engagements!$F$5:$F$106,'Weights &amp; Assumptions'!$A$7))+'Weights &amp; Assumptions'!$B$8*COUNTIFS(Engagements!$B$5:$B$106,$A25,Engagements!$D$5:$D$106,N$24,Engagements!$F$5:$F$106,'Weights &amp; Assumptions'!$A$8)/MAX(1,COUNTIFS(Engagements!$B$5:$B$106,$A25,Engagements!$F$5:$F$106,'Weights &amp; Assumptions'!$A$8))+'Weights &amp; Assumptions'!$B$9*COUNTIFS(Engagements!$B$5:$B$106,$A25,Engagements!$D$5:$D$106,N$24,Engagements!$F$5:$F$106,'Weights &amp; Assumptions'!$A$9)/MAX(1,COUNTIFS(Engagements!$B$5:$B$106,$A25,Engagements!$F$5:$F$106,'Weights &amp; Assumptions'!$A$9))+'Weights &amp; Assumptions'!$B$10*COUNTIFS(Engagements!$B$5:$B$106,$A25,Engagements!$D$5:$D$106,N$24,Engagements!$F$5:$F$106,'Weights &amp; Assumptions'!$A$10)/MAX(1,COUNTIFS(Engagements!$B$5:$B$106,$A25,Engagements!$F$5:$F$106,'Weights &amp; Assumptions'!$A$10))+'Weights &amp; Assumptions'!$B$11*COUNTIFS(Engagements!$B$5:$B$106,$A25,Engagements!$D$5:$D$106,N$24,Engagements!$F$5:$F$106,'Weights &amp; Assumptions'!$A$11)/MAX(1,COUNTIFS(Engagements!$B$5:$B$106,$A25,Engagements!$F$5:$F$106,'Weights &amp; Assumptions'!$A$11))+'Weights &amp; Assumptions'!$B$6*(COUNTIFS(Engagements!$B$5:$B$106,$A25,Engagements!$F$5:$F$106,"Acquisition")=0)*(VLOOKUP($A25,Customers!$A$5:$F$16,6,FALSE)=N$24)</f>
        <v/>
      </c>
      <c r="O25" s="76">
        <f>ROUND(SUM(C25:N25),1)</f>
        <v/>
      </c>
      <c r="P25" s="76">
        <f>ROUND('Weights &amp; Assumptions'!$B$12-O25,1)</f>
        <v/>
      </c>
    </row>
    <row r="26">
      <c r="A26" s="73">
        <f>Customers!A6</f>
        <v/>
      </c>
      <c r="B26" s="73">
        <f>Customers!B6</f>
        <v/>
      </c>
      <c r="C26" s="112">
        <f>'Weights &amp; Assumptions'!$B$6*COUNTIFS(Engagements!$B$5:$B$106,$A26,Engagements!$D$5:$D$106,C$24,Engagements!$F$5:$F$106,'Weights &amp; Assumptions'!$A$6)/MAX(1,COUNTIFS(Engagements!$B$5:$B$106,$A26,Engagements!$F$5:$F$106,'Weights &amp; Assumptions'!$A$6))+'Weights &amp; Assumptions'!$B$7*COUNTIFS(Engagements!$B$5:$B$106,$A26,Engagements!$D$5:$D$106,C$24,Engagements!$F$5:$F$106,'Weights &amp; Assumptions'!$A$7)/MAX(1,COUNTIFS(Engagements!$B$5:$B$106,$A26,Engagements!$F$5:$F$106,'Weights &amp; Assumptions'!$A$7))+'Weights &amp; Assumptions'!$B$8*COUNTIFS(Engagements!$B$5:$B$106,$A26,Engagements!$D$5:$D$106,C$24,Engagements!$F$5:$F$106,'Weights &amp; Assumptions'!$A$8)/MAX(1,COUNTIFS(Engagements!$B$5:$B$106,$A26,Engagements!$F$5:$F$106,'Weights &amp; Assumptions'!$A$8))+'Weights &amp; Assumptions'!$B$9*COUNTIFS(Engagements!$B$5:$B$106,$A26,Engagements!$D$5:$D$106,C$24,Engagements!$F$5:$F$106,'Weights &amp; Assumptions'!$A$9)/MAX(1,COUNTIFS(Engagements!$B$5:$B$106,$A26,Engagements!$F$5:$F$106,'Weights &amp; Assumptions'!$A$9))+'Weights &amp; Assumptions'!$B$10*COUNTIFS(Engagements!$B$5:$B$106,$A26,Engagements!$D$5:$D$106,C$24,Engagements!$F$5:$F$106,'Weights &amp; Assumptions'!$A$10)/MAX(1,COUNTIFS(Engagements!$B$5:$B$106,$A26,Engagements!$F$5:$F$106,'Weights &amp; Assumptions'!$A$10))+'Weights &amp; Assumptions'!$B$11*COUNTIFS(Engagements!$B$5:$B$106,$A26,Engagements!$D$5:$D$106,C$24,Engagements!$F$5:$F$106,'Weights &amp; Assumptions'!$A$11)/MAX(1,COUNTIFS(Engagements!$B$5:$B$106,$A26,Engagements!$F$5:$F$106,'Weights &amp; Assumptions'!$A$11))+'Weights &amp; Assumptions'!$B$6*(COUNTIFS(Engagements!$B$5:$B$106,$A26,Engagements!$F$5:$F$106,"Acquisition")=0)*(VLOOKUP($A26,Customers!$A$5:$F$16,6,FALSE)=C$24)</f>
        <v/>
      </c>
      <c r="D26" s="112">
        <f>'Weights &amp; Assumptions'!$B$6*COUNTIFS(Engagements!$B$5:$B$106,$A26,Engagements!$D$5:$D$106,D$24,Engagements!$F$5:$F$106,'Weights &amp; Assumptions'!$A$6)/MAX(1,COUNTIFS(Engagements!$B$5:$B$106,$A26,Engagements!$F$5:$F$106,'Weights &amp; Assumptions'!$A$6))+'Weights &amp; Assumptions'!$B$7*COUNTIFS(Engagements!$B$5:$B$106,$A26,Engagements!$D$5:$D$106,D$24,Engagements!$F$5:$F$106,'Weights &amp; Assumptions'!$A$7)/MAX(1,COUNTIFS(Engagements!$B$5:$B$106,$A26,Engagements!$F$5:$F$106,'Weights &amp; Assumptions'!$A$7))+'Weights &amp; Assumptions'!$B$8*COUNTIFS(Engagements!$B$5:$B$106,$A26,Engagements!$D$5:$D$106,D$24,Engagements!$F$5:$F$106,'Weights &amp; Assumptions'!$A$8)/MAX(1,COUNTIFS(Engagements!$B$5:$B$106,$A26,Engagements!$F$5:$F$106,'Weights &amp; Assumptions'!$A$8))+'Weights &amp; Assumptions'!$B$9*COUNTIFS(Engagements!$B$5:$B$106,$A26,Engagements!$D$5:$D$106,D$24,Engagements!$F$5:$F$106,'Weights &amp; Assumptions'!$A$9)/MAX(1,COUNTIFS(Engagements!$B$5:$B$106,$A26,Engagements!$F$5:$F$106,'Weights &amp; Assumptions'!$A$9))+'Weights &amp; Assumptions'!$B$10*COUNTIFS(Engagements!$B$5:$B$106,$A26,Engagements!$D$5:$D$106,D$24,Engagements!$F$5:$F$106,'Weights &amp; Assumptions'!$A$10)/MAX(1,COUNTIFS(Engagements!$B$5:$B$106,$A26,Engagements!$F$5:$F$106,'Weights &amp; Assumptions'!$A$10))+'Weights &amp; Assumptions'!$B$11*COUNTIFS(Engagements!$B$5:$B$106,$A26,Engagements!$D$5:$D$106,D$24,Engagements!$F$5:$F$106,'Weights &amp; Assumptions'!$A$11)/MAX(1,COUNTIFS(Engagements!$B$5:$B$106,$A26,Engagements!$F$5:$F$106,'Weights &amp; Assumptions'!$A$11))+'Weights &amp; Assumptions'!$B$6*(COUNTIFS(Engagements!$B$5:$B$106,$A26,Engagements!$F$5:$F$106,"Acquisition")=0)*(VLOOKUP($A26,Customers!$A$5:$F$16,6,FALSE)=D$24)</f>
        <v/>
      </c>
      <c r="E26" s="112">
        <f>'Weights &amp; Assumptions'!$B$6*COUNTIFS(Engagements!$B$5:$B$106,$A26,Engagements!$D$5:$D$106,E$24,Engagements!$F$5:$F$106,'Weights &amp; Assumptions'!$A$6)/MAX(1,COUNTIFS(Engagements!$B$5:$B$106,$A26,Engagements!$F$5:$F$106,'Weights &amp; Assumptions'!$A$6))+'Weights &amp; Assumptions'!$B$7*COUNTIFS(Engagements!$B$5:$B$106,$A26,Engagements!$D$5:$D$106,E$24,Engagements!$F$5:$F$106,'Weights &amp; Assumptions'!$A$7)/MAX(1,COUNTIFS(Engagements!$B$5:$B$106,$A26,Engagements!$F$5:$F$106,'Weights &amp; Assumptions'!$A$7))+'Weights &amp; Assumptions'!$B$8*COUNTIFS(Engagements!$B$5:$B$106,$A26,Engagements!$D$5:$D$106,E$24,Engagements!$F$5:$F$106,'Weights &amp; Assumptions'!$A$8)/MAX(1,COUNTIFS(Engagements!$B$5:$B$106,$A26,Engagements!$F$5:$F$106,'Weights &amp; Assumptions'!$A$8))+'Weights &amp; Assumptions'!$B$9*COUNTIFS(Engagements!$B$5:$B$106,$A26,Engagements!$D$5:$D$106,E$24,Engagements!$F$5:$F$106,'Weights &amp; Assumptions'!$A$9)/MAX(1,COUNTIFS(Engagements!$B$5:$B$106,$A26,Engagements!$F$5:$F$106,'Weights &amp; Assumptions'!$A$9))+'Weights &amp; Assumptions'!$B$10*COUNTIFS(Engagements!$B$5:$B$106,$A26,Engagements!$D$5:$D$106,E$24,Engagements!$F$5:$F$106,'Weights &amp; Assumptions'!$A$10)/MAX(1,COUNTIFS(Engagements!$B$5:$B$106,$A26,Engagements!$F$5:$F$106,'Weights &amp; Assumptions'!$A$10))+'Weights &amp; Assumptions'!$B$11*COUNTIFS(Engagements!$B$5:$B$106,$A26,Engagements!$D$5:$D$106,E$24,Engagements!$F$5:$F$106,'Weights &amp; Assumptions'!$A$11)/MAX(1,COUNTIFS(Engagements!$B$5:$B$106,$A26,Engagements!$F$5:$F$106,'Weights &amp; Assumptions'!$A$11))+'Weights &amp; Assumptions'!$B$6*(COUNTIFS(Engagements!$B$5:$B$106,$A26,Engagements!$F$5:$F$106,"Acquisition")=0)*(VLOOKUP($A26,Customers!$A$5:$F$16,6,FALSE)=E$24)</f>
        <v/>
      </c>
      <c r="F26" s="112">
        <f>'Weights &amp; Assumptions'!$B$6*COUNTIFS(Engagements!$B$5:$B$106,$A26,Engagements!$D$5:$D$106,F$24,Engagements!$F$5:$F$106,'Weights &amp; Assumptions'!$A$6)/MAX(1,COUNTIFS(Engagements!$B$5:$B$106,$A26,Engagements!$F$5:$F$106,'Weights &amp; Assumptions'!$A$6))+'Weights &amp; Assumptions'!$B$7*COUNTIFS(Engagements!$B$5:$B$106,$A26,Engagements!$D$5:$D$106,F$24,Engagements!$F$5:$F$106,'Weights &amp; Assumptions'!$A$7)/MAX(1,COUNTIFS(Engagements!$B$5:$B$106,$A26,Engagements!$F$5:$F$106,'Weights &amp; Assumptions'!$A$7))+'Weights &amp; Assumptions'!$B$8*COUNTIFS(Engagements!$B$5:$B$106,$A26,Engagements!$D$5:$D$106,F$24,Engagements!$F$5:$F$106,'Weights &amp; Assumptions'!$A$8)/MAX(1,COUNTIFS(Engagements!$B$5:$B$106,$A26,Engagements!$F$5:$F$106,'Weights &amp; Assumptions'!$A$8))+'Weights &amp; Assumptions'!$B$9*COUNTIFS(Engagements!$B$5:$B$106,$A26,Engagements!$D$5:$D$106,F$24,Engagements!$F$5:$F$106,'Weights &amp; Assumptions'!$A$9)/MAX(1,COUNTIFS(Engagements!$B$5:$B$106,$A26,Engagements!$F$5:$F$106,'Weights &amp; Assumptions'!$A$9))+'Weights &amp; Assumptions'!$B$10*COUNTIFS(Engagements!$B$5:$B$106,$A26,Engagements!$D$5:$D$106,F$24,Engagements!$F$5:$F$106,'Weights &amp; Assumptions'!$A$10)/MAX(1,COUNTIFS(Engagements!$B$5:$B$106,$A26,Engagements!$F$5:$F$106,'Weights &amp; Assumptions'!$A$10))+'Weights &amp; Assumptions'!$B$11*COUNTIFS(Engagements!$B$5:$B$106,$A26,Engagements!$D$5:$D$106,F$24,Engagements!$F$5:$F$106,'Weights &amp; Assumptions'!$A$11)/MAX(1,COUNTIFS(Engagements!$B$5:$B$106,$A26,Engagements!$F$5:$F$106,'Weights &amp; Assumptions'!$A$11))+'Weights &amp; Assumptions'!$B$6*(COUNTIFS(Engagements!$B$5:$B$106,$A26,Engagements!$F$5:$F$106,"Acquisition")=0)*(VLOOKUP($A26,Customers!$A$5:$F$16,6,FALSE)=F$24)</f>
        <v/>
      </c>
      <c r="G26" s="112">
        <f>'Weights &amp; Assumptions'!$B$6*COUNTIFS(Engagements!$B$5:$B$106,$A26,Engagements!$D$5:$D$106,G$24,Engagements!$F$5:$F$106,'Weights &amp; Assumptions'!$A$6)/MAX(1,COUNTIFS(Engagements!$B$5:$B$106,$A26,Engagements!$F$5:$F$106,'Weights &amp; Assumptions'!$A$6))+'Weights &amp; Assumptions'!$B$7*COUNTIFS(Engagements!$B$5:$B$106,$A26,Engagements!$D$5:$D$106,G$24,Engagements!$F$5:$F$106,'Weights &amp; Assumptions'!$A$7)/MAX(1,COUNTIFS(Engagements!$B$5:$B$106,$A26,Engagements!$F$5:$F$106,'Weights &amp; Assumptions'!$A$7))+'Weights &amp; Assumptions'!$B$8*COUNTIFS(Engagements!$B$5:$B$106,$A26,Engagements!$D$5:$D$106,G$24,Engagements!$F$5:$F$106,'Weights &amp; Assumptions'!$A$8)/MAX(1,COUNTIFS(Engagements!$B$5:$B$106,$A26,Engagements!$F$5:$F$106,'Weights &amp; Assumptions'!$A$8))+'Weights &amp; Assumptions'!$B$9*COUNTIFS(Engagements!$B$5:$B$106,$A26,Engagements!$D$5:$D$106,G$24,Engagements!$F$5:$F$106,'Weights &amp; Assumptions'!$A$9)/MAX(1,COUNTIFS(Engagements!$B$5:$B$106,$A26,Engagements!$F$5:$F$106,'Weights &amp; Assumptions'!$A$9))+'Weights &amp; Assumptions'!$B$10*COUNTIFS(Engagements!$B$5:$B$106,$A26,Engagements!$D$5:$D$106,G$24,Engagements!$F$5:$F$106,'Weights &amp; Assumptions'!$A$10)/MAX(1,COUNTIFS(Engagements!$B$5:$B$106,$A26,Engagements!$F$5:$F$106,'Weights &amp; Assumptions'!$A$10))+'Weights &amp; Assumptions'!$B$11*COUNTIFS(Engagements!$B$5:$B$106,$A26,Engagements!$D$5:$D$106,G$24,Engagements!$F$5:$F$106,'Weights &amp; Assumptions'!$A$11)/MAX(1,COUNTIFS(Engagements!$B$5:$B$106,$A26,Engagements!$F$5:$F$106,'Weights &amp; Assumptions'!$A$11))+'Weights &amp; Assumptions'!$B$6*(COUNTIFS(Engagements!$B$5:$B$106,$A26,Engagements!$F$5:$F$106,"Acquisition")=0)*(VLOOKUP($A26,Customers!$A$5:$F$16,6,FALSE)=G$24)</f>
        <v/>
      </c>
      <c r="H26" s="112">
        <f>'Weights &amp; Assumptions'!$B$6*COUNTIFS(Engagements!$B$5:$B$106,$A26,Engagements!$D$5:$D$106,H$24,Engagements!$F$5:$F$106,'Weights &amp; Assumptions'!$A$6)/MAX(1,COUNTIFS(Engagements!$B$5:$B$106,$A26,Engagements!$F$5:$F$106,'Weights &amp; Assumptions'!$A$6))+'Weights &amp; Assumptions'!$B$7*COUNTIFS(Engagements!$B$5:$B$106,$A26,Engagements!$D$5:$D$106,H$24,Engagements!$F$5:$F$106,'Weights &amp; Assumptions'!$A$7)/MAX(1,COUNTIFS(Engagements!$B$5:$B$106,$A26,Engagements!$F$5:$F$106,'Weights &amp; Assumptions'!$A$7))+'Weights &amp; Assumptions'!$B$8*COUNTIFS(Engagements!$B$5:$B$106,$A26,Engagements!$D$5:$D$106,H$24,Engagements!$F$5:$F$106,'Weights &amp; Assumptions'!$A$8)/MAX(1,COUNTIFS(Engagements!$B$5:$B$106,$A26,Engagements!$F$5:$F$106,'Weights &amp; Assumptions'!$A$8))+'Weights &amp; Assumptions'!$B$9*COUNTIFS(Engagements!$B$5:$B$106,$A26,Engagements!$D$5:$D$106,H$24,Engagements!$F$5:$F$106,'Weights &amp; Assumptions'!$A$9)/MAX(1,COUNTIFS(Engagements!$B$5:$B$106,$A26,Engagements!$F$5:$F$106,'Weights &amp; Assumptions'!$A$9))+'Weights &amp; Assumptions'!$B$10*COUNTIFS(Engagements!$B$5:$B$106,$A26,Engagements!$D$5:$D$106,H$24,Engagements!$F$5:$F$106,'Weights &amp; Assumptions'!$A$10)/MAX(1,COUNTIFS(Engagements!$B$5:$B$106,$A26,Engagements!$F$5:$F$106,'Weights &amp; Assumptions'!$A$10))+'Weights &amp; Assumptions'!$B$11*COUNTIFS(Engagements!$B$5:$B$106,$A26,Engagements!$D$5:$D$106,H$24,Engagements!$F$5:$F$106,'Weights &amp; Assumptions'!$A$11)/MAX(1,COUNTIFS(Engagements!$B$5:$B$106,$A26,Engagements!$F$5:$F$106,'Weights &amp; Assumptions'!$A$11))+'Weights &amp; Assumptions'!$B$6*(COUNTIFS(Engagements!$B$5:$B$106,$A26,Engagements!$F$5:$F$106,"Acquisition")=0)*(VLOOKUP($A26,Customers!$A$5:$F$16,6,FALSE)=H$24)</f>
        <v/>
      </c>
      <c r="I26" s="112">
        <f>'Weights &amp; Assumptions'!$B$6*COUNTIFS(Engagements!$B$5:$B$106,$A26,Engagements!$D$5:$D$106,I$24,Engagements!$F$5:$F$106,'Weights &amp; Assumptions'!$A$6)/MAX(1,COUNTIFS(Engagements!$B$5:$B$106,$A26,Engagements!$F$5:$F$106,'Weights &amp; Assumptions'!$A$6))+'Weights &amp; Assumptions'!$B$7*COUNTIFS(Engagements!$B$5:$B$106,$A26,Engagements!$D$5:$D$106,I$24,Engagements!$F$5:$F$106,'Weights &amp; Assumptions'!$A$7)/MAX(1,COUNTIFS(Engagements!$B$5:$B$106,$A26,Engagements!$F$5:$F$106,'Weights &amp; Assumptions'!$A$7))+'Weights &amp; Assumptions'!$B$8*COUNTIFS(Engagements!$B$5:$B$106,$A26,Engagements!$D$5:$D$106,I$24,Engagements!$F$5:$F$106,'Weights &amp; Assumptions'!$A$8)/MAX(1,COUNTIFS(Engagements!$B$5:$B$106,$A26,Engagements!$F$5:$F$106,'Weights &amp; Assumptions'!$A$8))+'Weights &amp; Assumptions'!$B$9*COUNTIFS(Engagements!$B$5:$B$106,$A26,Engagements!$D$5:$D$106,I$24,Engagements!$F$5:$F$106,'Weights &amp; Assumptions'!$A$9)/MAX(1,COUNTIFS(Engagements!$B$5:$B$106,$A26,Engagements!$F$5:$F$106,'Weights &amp; Assumptions'!$A$9))+'Weights &amp; Assumptions'!$B$10*COUNTIFS(Engagements!$B$5:$B$106,$A26,Engagements!$D$5:$D$106,I$24,Engagements!$F$5:$F$106,'Weights &amp; Assumptions'!$A$10)/MAX(1,COUNTIFS(Engagements!$B$5:$B$106,$A26,Engagements!$F$5:$F$106,'Weights &amp; Assumptions'!$A$10))+'Weights &amp; Assumptions'!$B$11*COUNTIFS(Engagements!$B$5:$B$106,$A26,Engagements!$D$5:$D$106,I$24,Engagements!$F$5:$F$106,'Weights &amp; Assumptions'!$A$11)/MAX(1,COUNTIFS(Engagements!$B$5:$B$106,$A26,Engagements!$F$5:$F$106,'Weights &amp; Assumptions'!$A$11))+'Weights &amp; Assumptions'!$B$6*(COUNTIFS(Engagements!$B$5:$B$106,$A26,Engagements!$F$5:$F$106,"Acquisition")=0)*(VLOOKUP($A26,Customers!$A$5:$F$16,6,FALSE)=I$24)</f>
        <v/>
      </c>
      <c r="J26" s="112">
        <f>'Weights &amp; Assumptions'!$B$6*COUNTIFS(Engagements!$B$5:$B$106,$A26,Engagements!$D$5:$D$106,J$24,Engagements!$F$5:$F$106,'Weights &amp; Assumptions'!$A$6)/MAX(1,COUNTIFS(Engagements!$B$5:$B$106,$A26,Engagements!$F$5:$F$106,'Weights &amp; Assumptions'!$A$6))+'Weights &amp; Assumptions'!$B$7*COUNTIFS(Engagements!$B$5:$B$106,$A26,Engagements!$D$5:$D$106,J$24,Engagements!$F$5:$F$106,'Weights &amp; Assumptions'!$A$7)/MAX(1,COUNTIFS(Engagements!$B$5:$B$106,$A26,Engagements!$F$5:$F$106,'Weights &amp; Assumptions'!$A$7))+'Weights &amp; Assumptions'!$B$8*COUNTIFS(Engagements!$B$5:$B$106,$A26,Engagements!$D$5:$D$106,J$24,Engagements!$F$5:$F$106,'Weights &amp; Assumptions'!$A$8)/MAX(1,COUNTIFS(Engagements!$B$5:$B$106,$A26,Engagements!$F$5:$F$106,'Weights &amp; Assumptions'!$A$8))+'Weights &amp; Assumptions'!$B$9*COUNTIFS(Engagements!$B$5:$B$106,$A26,Engagements!$D$5:$D$106,J$24,Engagements!$F$5:$F$106,'Weights &amp; Assumptions'!$A$9)/MAX(1,COUNTIFS(Engagements!$B$5:$B$106,$A26,Engagements!$F$5:$F$106,'Weights &amp; Assumptions'!$A$9))+'Weights &amp; Assumptions'!$B$10*COUNTIFS(Engagements!$B$5:$B$106,$A26,Engagements!$D$5:$D$106,J$24,Engagements!$F$5:$F$106,'Weights &amp; Assumptions'!$A$10)/MAX(1,COUNTIFS(Engagements!$B$5:$B$106,$A26,Engagements!$F$5:$F$106,'Weights &amp; Assumptions'!$A$10))+'Weights &amp; Assumptions'!$B$11*COUNTIFS(Engagements!$B$5:$B$106,$A26,Engagements!$D$5:$D$106,J$24,Engagements!$F$5:$F$106,'Weights &amp; Assumptions'!$A$11)/MAX(1,COUNTIFS(Engagements!$B$5:$B$106,$A26,Engagements!$F$5:$F$106,'Weights &amp; Assumptions'!$A$11))+'Weights &amp; Assumptions'!$B$6*(COUNTIFS(Engagements!$B$5:$B$106,$A26,Engagements!$F$5:$F$106,"Acquisition")=0)*(VLOOKUP($A26,Customers!$A$5:$F$16,6,FALSE)=J$24)</f>
        <v/>
      </c>
      <c r="K26" s="112">
        <f>'Weights &amp; Assumptions'!$B$6*COUNTIFS(Engagements!$B$5:$B$106,$A26,Engagements!$D$5:$D$106,K$24,Engagements!$F$5:$F$106,'Weights &amp; Assumptions'!$A$6)/MAX(1,COUNTIFS(Engagements!$B$5:$B$106,$A26,Engagements!$F$5:$F$106,'Weights &amp; Assumptions'!$A$6))+'Weights &amp; Assumptions'!$B$7*COUNTIFS(Engagements!$B$5:$B$106,$A26,Engagements!$D$5:$D$106,K$24,Engagements!$F$5:$F$106,'Weights &amp; Assumptions'!$A$7)/MAX(1,COUNTIFS(Engagements!$B$5:$B$106,$A26,Engagements!$F$5:$F$106,'Weights &amp; Assumptions'!$A$7))+'Weights &amp; Assumptions'!$B$8*COUNTIFS(Engagements!$B$5:$B$106,$A26,Engagements!$D$5:$D$106,K$24,Engagements!$F$5:$F$106,'Weights &amp; Assumptions'!$A$8)/MAX(1,COUNTIFS(Engagements!$B$5:$B$106,$A26,Engagements!$F$5:$F$106,'Weights &amp; Assumptions'!$A$8))+'Weights &amp; Assumptions'!$B$9*COUNTIFS(Engagements!$B$5:$B$106,$A26,Engagements!$D$5:$D$106,K$24,Engagements!$F$5:$F$106,'Weights &amp; Assumptions'!$A$9)/MAX(1,COUNTIFS(Engagements!$B$5:$B$106,$A26,Engagements!$F$5:$F$106,'Weights &amp; Assumptions'!$A$9))+'Weights &amp; Assumptions'!$B$10*COUNTIFS(Engagements!$B$5:$B$106,$A26,Engagements!$D$5:$D$106,K$24,Engagements!$F$5:$F$106,'Weights &amp; Assumptions'!$A$10)/MAX(1,COUNTIFS(Engagements!$B$5:$B$106,$A26,Engagements!$F$5:$F$106,'Weights &amp; Assumptions'!$A$10))+'Weights &amp; Assumptions'!$B$11*COUNTIFS(Engagements!$B$5:$B$106,$A26,Engagements!$D$5:$D$106,K$24,Engagements!$F$5:$F$106,'Weights &amp; Assumptions'!$A$11)/MAX(1,COUNTIFS(Engagements!$B$5:$B$106,$A26,Engagements!$F$5:$F$106,'Weights &amp; Assumptions'!$A$11))+'Weights &amp; Assumptions'!$B$6*(COUNTIFS(Engagements!$B$5:$B$106,$A26,Engagements!$F$5:$F$106,"Acquisition")=0)*(VLOOKUP($A26,Customers!$A$5:$F$16,6,FALSE)=K$24)</f>
        <v/>
      </c>
      <c r="L26" s="112">
        <f>'Weights &amp; Assumptions'!$B$6*COUNTIFS(Engagements!$B$5:$B$106,$A26,Engagements!$D$5:$D$106,L$24,Engagements!$F$5:$F$106,'Weights &amp; Assumptions'!$A$6)/MAX(1,COUNTIFS(Engagements!$B$5:$B$106,$A26,Engagements!$F$5:$F$106,'Weights &amp; Assumptions'!$A$6))+'Weights &amp; Assumptions'!$B$7*COUNTIFS(Engagements!$B$5:$B$106,$A26,Engagements!$D$5:$D$106,L$24,Engagements!$F$5:$F$106,'Weights &amp; Assumptions'!$A$7)/MAX(1,COUNTIFS(Engagements!$B$5:$B$106,$A26,Engagements!$F$5:$F$106,'Weights &amp; Assumptions'!$A$7))+'Weights &amp; Assumptions'!$B$8*COUNTIFS(Engagements!$B$5:$B$106,$A26,Engagements!$D$5:$D$106,L$24,Engagements!$F$5:$F$106,'Weights &amp; Assumptions'!$A$8)/MAX(1,COUNTIFS(Engagements!$B$5:$B$106,$A26,Engagements!$F$5:$F$106,'Weights &amp; Assumptions'!$A$8))+'Weights &amp; Assumptions'!$B$9*COUNTIFS(Engagements!$B$5:$B$106,$A26,Engagements!$D$5:$D$106,L$24,Engagements!$F$5:$F$106,'Weights &amp; Assumptions'!$A$9)/MAX(1,COUNTIFS(Engagements!$B$5:$B$106,$A26,Engagements!$F$5:$F$106,'Weights &amp; Assumptions'!$A$9))+'Weights &amp; Assumptions'!$B$10*COUNTIFS(Engagements!$B$5:$B$106,$A26,Engagements!$D$5:$D$106,L$24,Engagements!$F$5:$F$106,'Weights &amp; Assumptions'!$A$10)/MAX(1,COUNTIFS(Engagements!$B$5:$B$106,$A26,Engagements!$F$5:$F$106,'Weights &amp; Assumptions'!$A$10))+'Weights &amp; Assumptions'!$B$11*COUNTIFS(Engagements!$B$5:$B$106,$A26,Engagements!$D$5:$D$106,L$24,Engagements!$F$5:$F$106,'Weights &amp; Assumptions'!$A$11)/MAX(1,COUNTIFS(Engagements!$B$5:$B$106,$A26,Engagements!$F$5:$F$106,'Weights &amp; Assumptions'!$A$11))+'Weights &amp; Assumptions'!$B$6*(COUNTIFS(Engagements!$B$5:$B$106,$A26,Engagements!$F$5:$F$106,"Acquisition")=0)*(VLOOKUP($A26,Customers!$A$5:$F$16,6,FALSE)=L$24)</f>
        <v/>
      </c>
      <c r="M26" s="112">
        <f>'Weights &amp; Assumptions'!$B$6*COUNTIFS(Engagements!$B$5:$B$106,$A26,Engagements!$D$5:$D$106,M$24,Engagements!$F$5:$F$106,'Weights &amp; Assumptions'!$A$6)/MAX(1,COUNTIFS(Engagements!$B$5:$B$106,$A26,Engagements!$F$5:$F$106,'Weights &amp; Assumptions'!$A$6))+'Weights &amp; Assumptions'!$B$7*COUNTIFS(Engagements!$B$5:$B$106,$A26,Engagements!$D$5:$D$106,M$24,Engagements!$F$5:$F$106,'Weights &amp; Assumptions'!$A$7)/MAX(1,COUNTIFS(Engagements!$B$5:$B$106,$A26,Engagements!$F$5:$F$106,'Weights &amp; Assumptions'!$A$7))+'Weights &amp; Assumptions'!$B$8*COUNTIFS(Engagements!$B$5:$B$106,$A26,Engagements!$D$5:$D$106,M$24,Engagements!$F$5:$F$106,'Weights &amp; Assumptions'!$A$8)/MAX(1,COUNTIFS(Engagements!$B$5:$B$106,$A26,Engagements!$F$5:$F$106,'Weights &amp; Assumptions'!$A$8))+'Weights &amp; Assumptions'!$B$9*COUNTIFS(Engagements!$B$5:$B$106,$A26,Engagements!$D$5:$D$106,M$24,Engagements!$F$5:$F$106,'Weights &amp; Assumptions'!$A$9)/MAX(1,COUNTIFS(Engagements!$B$5:$B$106,$A26,Engagements!$F$5:$F$106,'Weights &amp; Assumptions'!$A$9))+'Weights &amp; Assumptions'!$B$10*COUNTIFS(Engagements!$B$5:$B$106,$A26,Engagements!$D$5:$D$106,M$24,Engagements!$F$5:$F$106,'Weights &amp; Assumptions'!$A$10)/MAX(1,COUNTIFS(Engagements!$B$5:$B$106,$A26,Engagements!$F$5:$F$106,'Weights &amp; Assumptions'!$A$10))+'Weights &amp; Assumptions'!$B$11*COUNTIFS(Engagements!$B$5:$B$106,$A26,Engagements!$D$5:$D$106,M$24,Engagements!$F$5:$F$106,'Weights &amp; Assumptions'!$A$11)/MAX(1,COUNTIFS(Engagements!$B$5:$B$106,$A26,Engagements!$F$5:$F$106,'Weights &amp; Assumptions'!$A$11))+'Weights &amp; Assumptions'!$B$6*(COUNTIFS(Engagements!$B$5:$B$106,$A26,Engagements!$F$5:$F$106,"Acquisition")=0)*(VLOOKUP($A26,Customers!$A$5:$F$16,6,FALSE)=M$24)</f>
        <v/>
      </c>
      <c r="N26" s="112">
        <f>'Weights &amp; Assumptions'!$B$6*COUNTIFS(Engagements!$B$5:$B$106,$A26,Engagements!$D$5:$D$106,N$24,Engagements!$F$5:$F$106,'Weights &amp; Assumptions'!$A$6)/MAX(1,COUNTIFS(Engagements!$B$5:$B$106,$A26,Engagements!$F$5:$F$106,'Weights &amp; Assumptions'!$A$6))+'Weights &amp; Assumptions'!$B$7*COUNTIFS(Engagements!$B$5:$B$106,$A26,Engagements!$D$5:$D$106,N$24,Engagements!$F$5:$F$106,'Weights &amp; Assumptions'!$A$7)/MAX(1,COUNTIFS(Engagements!$B$5:$B$106,$A26,Engagements!$F$5:$F$106,'Weights &amp; Assumptions'!$A$7))+'Weights &amp; Assumptions'!$B$8*COUNTIFS(Engagements!$B$5:$B$106,$A26,Engagements!$D$5:$D$106,N$24,Engagements!$F$5:$F$106,'Weights &amp; Assumptions'!$A$8)/MAX(1,COUNTIFS(Engagements!$B$5:$B$106,$A26,Engagements!$F$5:$F$106,'Weights &amp; Assumptions'!$A$8))+'Weights &amp; Assumptions'!$B$9*COUNTIFS(Engagements!$B$5:$B$106,$A26,Engagements!$D$5:$D$106,N$24,Engagements!$F$5:$F$106,'Weights &amp; Assumptions'!$A$9)/MAX(1,COUNTIFS(Engagements!$B$5:$B$106,$A26,Engagements!$F$5:$F$106,'Weights &amp; Assumptions'!$A$9))+'Weights &amp; Assumptions'!$B$10*COUNTIFS(Engagements!$B$5:$B$106,$A26,Engagements!$D$5:$D$106,N$24,Engagements!$F$5:$F$106,'Weights &amp; Assumptions'!$A$10)/MAX(1,COUNTIFS(Engagements!$B$5:$B$106,$A26,Engagements!$F$5:$F$106,'Weights &amp; Assumptions'!$A$10))+'Weights &amp; Assumptions'!$B$11*COUNTIFS(Engagements!$B$5:$B$106,$A26,Engagements!$D$5:$D$106,N$24,Engagements!$F$5:$F$106,'Weights &amp; Assumptions'!$A$11)/MAX(1,COUNTIFS(Engagements!$B$5:$B$106,$A26,Engagements!$F$5:$F$106,'Weights &amp; Assumptions'!$A$11))+'Weights &amp; Assumptions'!$B$6*(COUNTIFS(Engagements!$B$5:$B$106,$A26,Engagements!$F$5:$F$106,"Acquisition")=0)*(VLOOKUP($A26,Customers!$A$5:$F$16,6,FALSE)=N$24)</f>
        <v/>
      </c>
      <c r="O26" s="76">
        <f>ROUND(SUM(C26:N26),1)</f>
        <v/>
      </c>
      <c r="P26" s="76">
        <f>ROUND('Weights &amp; Assumptions'!$B$12-O26,1)</f>
        <v/>
      </c>
    </row>
    <row r="27">
      <c r="A27" s="73">
        <f>Customers!A7</f>
        <v/>
      </c>
      <c r="B27" s="73">
        <f>Customers!B7</f>
        <v/>
      </c>
      <c r="C27" s="112">
        <f>'Weights &amp; Assumptions'!$B$6*COUNTIFS(Engagements!$B$5:$B$106,$A27,Engagements!$D$5:$D$106,C$24,Engagements!$F$5:$F$106,'Weights &amp; Assumptions'!$A$6)/MAX(1,COUNTIFS(Engagements!$B$5:$B$106,$A27,Engagements!$F$5:$F$106,'Weights &amp; Assumptions'!$A$6))+'Weights &amp; Assumptions'!$B$7*COUNTIFS(Engagements!$B$5:$B$106,$A27,Engagements!$D$5:$D$106,C$24,Engagements!$F$5:$F$106,'Weights &amp; Assumptions'!$A$7)/MAX(1,COUNTIFS(Engagements!$B$5:$B$106,$A27,Engagements!$F$5:$F$106,'Weights &amp; Assumptions'!$A$7))+'Weights &amp; Assumptions'!$B$8*COUNTIFS(Engagements!$B$5:$B$106,$A27,Engagements!$D$5:$D$106,C$24,Engagements!$F$5:$F$106,'Weights &amp; Assumptions'!$A$8)/MAX(1,COUNTIFS(Engagements!$B$5:$B$106,$A27,Engagements!$F$5:$F$106,'Weights &amp; Assumptions'!$A$8))+'Weights &amp; Assumptions'!$B$9*COUNTIFS(Engagements!$B$5:$B$106,$A27,Engagements!$D$5:$D$106,C$24,Engagements!$F$5:$F$106,'Weights &amp; Assumptions'!$A$9)/MAX(1,COUNTIFS(Engagements!$B$5:$B$106,$A27,Engagements!$F$5:$F$106,'Weights &amp; Assumptions'!$A$9))+'Weights &amp; Assumptions'!$B$10*COUNTIFS(Engagements!$B$5:$B$106,$A27,Engagements!$D$5:$D$106,C$24,Engagements!$F$5:$F$106,'Weights &amp; Assumptions'!$A$10)/MAX(1,COUNTIFS(Engagements!$B$5:$B$106,$A27,Engagements!$F$5:$F$106,'Weights &amp; Assumptions'!$A$10))+'Weights &amp; Assumptions'!$B$11*COUNTIFS(Engagements!$B$5:$B$106,$A27,Engagements!$D$5:$D$106,C$24,Engagements!$F$5:$F$106,'Weights &amp; Assumptions'!$A$11)/MAX(1,COUNTIFS(Engagements!$B$5:$B$106,$A27,Engagements!$F$5:$F$106,'Weights &amp; Assumptions'!$A$11))+'Weights &amp; Assumptions'!$B$6*(COUNTIFS(Engagements!$B$5:$B$106,$A27,Engagements!$F$5:$F$106,"Acquisition")=0)*(VLOOKUP($A27,Customers!$A$5:$F$16,6,FALSE)=C$24)</f>
        <v/>
      </c>
      <c r="D27" s="112">
        <f>'Weights &amp; Assumptions'!$B$6*COUNTIFS(Engagements!$B$5:$B$106,$A27,Engagements!$D$5:$D$106,D$24,Engagements!$F$5:$F$106,'Weights &amp; Assumptions'!$A$6)/MAX(1,COUNTIFS(Engagements!$B$5:$B$106,$A27,Engagements!$F$5:$F$106,'Weights &amp; Assumptions'!$A$6))+'Weights &amp; Assumptions'!$B$7*COUNTIFS(Engagements!$B$5:$B$106,$A27,Engagements!$D$5:$D$106,D$24,Engagements!$F$5:$F$106,'Weights &amp; Assumptions'!$A$7)/MAX(1,COUNTIFS(Engagements!$B$5:$B$106,$A27,Engagements!$F$5:$F$106,'Weights &amp; Assumptions'!$A$7))+'Weights &amp; Assumptions'!$B$8*COUNTIFS(Engagements!$B$5:$B$106,$A27,Engagements!$D$5:$D$106,D$24,Engagements!$F$5:$F$106,'Weights &amp; Assumptions'!$A$8)/MAX(1,COUNTIFS(Engagements!$B$5:$B$106,$A27,Engagements!$F$5:$F$106,'Weights &amp; Assumptions'!$A$8))+'Weights &amp; Assumptions'!$B$9*COUNTIFS(Engagements!$B$5:$B$106,$A27,Engagements!$D$5:$D$106,D$24,Engagements!$F$5:$F$106,'Weights &amp; Assumptions'!$A$9)/MAX(1,COUNTIFS(Engagements!$B$5:$B$106,$A27,Engagements!$F$5:$F$106,'Weights &amp; Assumptions'!$A$9))+'Weights &amp; Assumptions'!$B$10*COUNTIFS(Engagements!$B$5:$B$106,$A27,Engagements!$D$5:$D$106,D$24,Engagements!$F$5:$F$106,'Weights &amp; Assumptions'!$A$10)/MAX(1,COUNTIFS(Engagements!$B$5:$B$106,$A27,Engagements!$F$5:$F$106,'Weights &amp; Assumptions'!$A$10))+'Weights &amp; Assumptions'!$B$11*COUNTIFS(Engagements!$B$5:$B$106,$A27,Engagements!$D$5:$D$106,D$24,Engagements!$F$5:$F$106,'Weights &amp; Assumptions'!$A$11)/MAX(1,COUNTIFS(Engagements!$B$5:$B$106,$A27,Engagements!$F$5:$F$106,'Weights &amp; Assumptions'!$A$11))+'Weights &amp; Assumptions'!$B$6*(COUNTIFS(Engagements!$B$5:$B$106,$A27,Engagements!$F$5:$F$106,"Acquisition")=0)*(VLOOKUP($A27,Customers!$A$5:$F$16,6,FALSE)=D$24)</f>
        <v/>
      </c>
      <c r="E27" s="112">
        <f>'Weights &amp; Assumptions'!$B$6*COUNTIFS(Engagements!$B$5:$B$106,$A27,Engagements!$D$5:$D$106,E$24,Engagements!$F$5:$F$106,'Weights &amp; Assumptions'!$A$6)/MAX(1,COUNTIFS(Engagements!$B$5:$B$106,$A27,Engagements!$F$5:$F$106,'Weights &amp; Assumptions'!$A$6))+'Weights &amp; Assumptions'!$B$7*COUNTIFS(Engagements!$B$5:$B$106,$A27,Engagements!$D$5:$D$106,E$24,Engagements!$F$5:$F$106,'Weights &amp; Assumptions'!$A$7)/MAX(1,COUNTIFS(Engagements!$B$5:$B$106,$A27,Engagements!$F$5:$F$106,'Weights &amp; Assumptions'!$A$7))+'Weights &amp; Assumptions'!$B$8*COUNTIFS(Engagements!$B$5:$B$106,$A27,Engagements!$D$5:$D$106,E$24,Engagements!$F$5:$F$106,'Weights &amp; Assumptions'!$A$8)/MAX(1,COUNTIFS(Engagements!$B$5:$B$106,$A27,Engagements!$F$5:$F$106,'Weights &amp; Assumptions'!$A$8))+'Weights &amp; Assumptions'!$B$9*COUNTIFS(Engagements!$B$5:$B$106,$A27,Engagements!$D$5:$D$106,E$24,Engagements!$F$5:$F$106,'Weights &amp; Assumptions'!$A$9)/MAX(1,COUNTIFS(Engagements!$B$5:$B$106,$A27,Engagements!$F$5:$F$106,'Weights &amp; Assumptions'!$A$9))+'Weights &amp; Assumptions'!$B$10*COUNTIFS(Engagements!$B$5:$B$106,$A27,Engagements!$D$5:$D$106,E$24,Engagements!$F$5:$F$106,'Weights &amp; Assumptions'!$A$10)/MAX(1,COUNTIFS(Engagements!$B$5:$B$106,$A27,Engagements!$F$5:$F$106,'Weights &amp; Assumptions'!$A$10))+'Weights &amp; Assumptions'!$B$11*COUNTIFS(Engagements!$B$5:$B$106,$A27,Engagements!$D$5:$D$106,E$24,Engagements!$F$5:$F$106,'Weights &amp; Assumptions'!$A$11)/MAX(1,COUNTIFS(Engagements!$B$5:$B$106,$A27,Engagements!$F$5:$F$106,'Weights &amp; Assumptions'!$A$11))+'Weights &amp; Assumptions'!$B$6*(COUNTIFS(Engagements!$B$5:$B$106,$A27,Engagements!$F$5:$F$106,"Acquisition")=0)*(VLOOKUP($A27,Customers!$A$5:$F$16,6,FALSE)=E$24)</f>
        <v/>
      </c>
      <c r="F27" s="112">
        <f>'Weights &amp; Assumptions'!$B$6*COUNTIFS(Engagements!$B$5:$B$106,$A27,Engagements!$D$5:$D$106,F$24,Engagements!$F$5:$F$106,'Weights &amp; Assumptions'!$A$6)/MAX(1,COUNTIFS(Engagements!$B$5:$B$106,$A27,Engagements!$F$5:$F$106,'Weights &amp; Assumptions'!$A$6))+'Weights &amp; Assumptions'!$B$7*COUNTIFS(Engagements!$B$5:$B$106,$A27,Engagements!$D$5:$D$106,F$24,Engagements!$F$5:$F$106,'Weights &amp; Assumptions'!$A$7)/MAX(1,COUNTIFS(Engagements!$B$5:$B$106,$A27,Engagements!$F$5:$F$106,'Weights &amp; Assumptions'!$A$7))+'Weights &amp; Assumptions'!$B$8*COUNTIFS(Engagements!$B$5:$B$106,$A27,Engagements!$D$5:$D$106,F$24,Engagements!$F$5:$F$106,'Weights &amp; Assumptions'!$A$8)/MAX(1,COUNTIFS(Engagements!$B$5:$B$106,$A27,Engagements!$F$5:$F$106,'Weights &amp; Assumptions'!$A$8))+'Weights &amp; Assumptions'!$B$9*COUNTIFS(Engagements!$B$5:$B$106,$A27,Engagements!$D$5:$D$106,F$24,Engagements!$F$5:$F$106,'Weights &amp; Assumptions'!$A$9)/MAX(1,COUNTIFS(Engagements!$B$5:$B$106,$A27,Engagements!$F$5:$F$106,'Weights &amp; Assumptions'!$A$9))+'Weights &amp; Assumptions'!$B$10*COUNTIFS(Engagements!$B$5:$B$106,$A27,Engagements!$D$5:$D$106,F$24,Engagements!$F$5:$F$106,'Weights &amp; Assumptions'!$A$10)/MAX(1,COUNTIFS(Engagements!$B$5:$B$106,$A27,Engagements!$F$5:$F$106,'Weights &amp; Assumptions'!$A$10))+'Weights &amp; Assumptions'!$B$11*COUNTIFS(Engagements!$B$5:$B$106,$A27,Engagements!$D$5:$D$106,F$24,Engagements!$F$5:$F$106,'Weights &amp; Assumptions'!$A$11)/MAX(1,COUNTIFS(Engagements!$B$5:$B$106,$A27,Engagements!$F$5:$F$106,'Weights &amp; Assumptions'!$A$11))+'Weights &amp; Assumptions'!$B$6*(COUNTIFS(Engagements!$B$5:$B$106,$A27,Engagements!$F$5:$F$106,"Acquisition")=0)*(VLOOKUP($A27,Customers!$A$5:$F$16,6,FALSE)=F$24)</f>
        <v/>
      </c>
      <c r="G27" s="112">
        <f>'Weights &amp; Assumptions'!$B$6*COUNTIFS(Engagements!$B$5:$B$106,$A27,Engagements!$D$5:$D$106,G$24,Engagements!$F$5:$F$106,'Weights &amp; Assumptions'!$A$6)/MAX(1,COUNTIFS(Engagements!$B$5:$B$106,$A27,Engagements!$F$5:$F$106,'Weights &amp; Assumptions'!$A$6))+'Weights &amp; Assumptions'!$B$7*COUNTIFS(Engagements!$B$5:$B$106,$A27,Engagements!$D$5:$D$106,G$24,Engagements!$F$5:$F$106,'Weights &amp; Assumptions'!$A$7)/MAX(1,COUNTIFS(Engagements!$B$5:$B$106,$A27,Engagements!$F$5:$F$106,'Weights &amp; Assumptions'!$A$7))+'Weights &amp; Assumptions'!$B$8*COUNTIFS(Engagements!$B$5:$B$106,$A27,Engagements!$D$5:$D$106,G$24,Engagements!$F$5:$F$106,'Weights &amp; Assumptions'!$A$8)/MAX(1,COUNTIFS(Engagements!$B$5:$B$106,$A27,Engagements!$F$5:$F$106,'Weights &amp; Assumptions'!$A$8))+'Weights &amp; Assumptions'!$B$9*COUNTIFS(Engagements!$B$5:$B$106,$A27,Engagements!$D$5:$D$106,G$24,Engagements!$F$5:$F$106,'Weights &amp; Assumptions'!$A$9)/MAX(1,COUNTIFS(Engagements!$B$5:$B$106,$A27,Engagements!$F$5:$F$106,'Weights &amp; Assumptions'!$A$9))+'Weights &amp; Assumptions'!$B$10*COUNTIFS(Engagements!$B$5:$B$106,$A27,Engagements!$D$5:$D$106,G$24,Engagements!$F$5:$F$106,'Weights &amp; Assumptions'!$A$10)/MAX(1,COUNTIFS(Engagements!$B$5:$B$106,$A27,Engagements!$F$5:$F$106,'Weights &amp; Assumptions'!$A$10))+'Weights &amp; Assumptions'!$B$11*COUNTIFS(Engagements!$B$5:$B$106,$A27,Engagements!$D$5:$D$106,G$24,Engagements!$F$5:$F$106,'Weights &amp; Assumptions'!$A$11)/MAX(1,COUNTIFS(Engagements!$B$5:$B$106,$A27,Engagements!$F$5:$F$106,'Weights &amp; Assumptions'!$A$11))+'Weights &amp; Assumptions'!$B$6*(COUNTIFS(Engagements!$B$5:$B$106,$A27,Engagements!$F$5:$F$106,"Acquisition")=0)*(VLOOKUP($A27,Customers!$A$5:$F$16,6,FALSE)=G$24)</f>
        <v/>
      </c>
      <c r="H27" s="112">
        <f>'Weights &amp; Assumptions'!$B$6*COUNTIFS(Engagements!$B$5:$B$106,$A27,Engagements!$D$5:$D$106,H$24,Engagements!$F$5:$F$106,'Weights &amp; Assumptions'!$A$6)/MAX(1,COUNTIFS(Engagements!$B$5:$B$106,$A27,Engagements!$F$5:$F$106,'Weights &amp; Assumptions'!$A$6))+'Weights &amp; Assumptions'!$B$7*COUNTIFS(Engagements!$B$5:$B$106,$A27,Engagements!$D$5:$D$106,H$24,Engagements!$F$5:$F$106,'Weights &amp; Assumptions'!$A$7)/MAX(1,COUNTIFS(Engagements!$B$5:$B$106,$A27,Engagements!$F$5:$F$106,'Weights &amp; Assumptions'!$A$7))+'Weights &amp; Assumptions'!$B$8*COUNTIFS(Engagements!$B$5:$B$106,$A27,Engagements!$D$5:$D$106,H$24,Engagements!$F$5:$F$106,'Weights &amp; Assumptions'!$A$8)/MAX(1,COUNTIFS(Engagements!$B$5:$B$106,$A27,Engagements!$F$5:$F$106,'Weights &amp; Assumptions'!$A$8))+'Weights &amp; Assumptions'!$B$9*COUNTIFS(Engagements!$B$5:$B$106,$A27,Engagements!$D$5:$D$106,H$24,Engagements!$F$5:$F$106,'Weights &amp; Assumptions'!$A$9)/MAX(1,COUNTIFS(Engagements!$B$5:$B$106,$A27,Engagements!$F$5:$F$106,'Weights &amp; Assumptions'!$A$9))+'Weights &amp; Assumptions'!$B$10*COUNTIFS(Engagements!$B$5:$B$106,$A27,Engagements!$D$5:$D$106,H$24,Engagements!$F$5:$F$106,'Weights &amp; Assumptions'!$A$10)/MAX(1,COUNTIFS(Engagements!$B$5:$B$106,$A27,Engagements!$F$5:$F$106,'Weights &amp; Assumptions'!$A$10))+'Weights &amp; Assumptions'!$B$11*COUNTIFS(Engagements!$B$5:$B$106,$A27,Engagements!$D$5:$D$106,H$24,Engagements!$F$5:$F$106,'Weights &amp; Assumptions'!$A$11)/MAX(1,COUNTIFS(Engagements!$B$5:$B$106,$A27,Engagements!$F$5:$F$106,'Weights &amp; Assumptions'!$A$11))+'Weights &amp; Assumptions'!$B$6*(COUNTIFS(Engagements!$B$5:$B$106,$A27,Engagements!$F$5:$F$106,"Acquisition")=0)*(VLOOKUP($A27,Customers!$A$5:$F$16,6,FALSE)=H$24)</f>
        <v/>
      </c>
      <c r="I27" s="112">
        <f>'Weights &amp; Assumptions'!$B$6*COUNTIFS(Engagements!$B$5:$B$106,$A27,Engagements!$D$5:$D$106,I$24,Engagements!$F$5:$F$106,'Weights &amp; Assumptions'!$A$6)/MAX(1,COUNTIFS(Engagements!$B$5:$B$106,$A27,Engagements!$F$5:$F$106,'Weights &amp; Assumptions'!$A$6))+'Weights &amp; Assumptions'!$B$7*COUNTIFS(Engagements!$B$5:$B$106,$A27,Engagements!$D$5:$D$106,I$24,Engagements!$F$5:$F$106,'Weights &amp; Assumptions'!$A$7)/MAX(1,COUNTIFS(Engagements!$B$5:$B$106,$A27,Engagements!$F$5:$F$106,'Weights &amp; Assumptions'!$A$7))+'Weights &amp; Assumptions'!$B$8*COUNTIFS(Engagements!$B$5:$B$106,$A27,Engagements!$D$5:$D$106,I$24,Engagements!$F$5:$F$106,'Weights &amp; Assumptions'!$A$8)/MAX(1,COUNTIFS(Engagements!$B$5:$B$106,$A27,Engagements!$F$5:$F$106,'Weights &amp; Assumptions'!$A$8))+'Weights &amp; Assumptions'!$B$9*COUNTIFS(Engagements!$B$5:$B$106,$A27,Engagements!$D$5:$D$106,I$24,Engagements!$F$5:$F$106,'Weights &amp; Assumptions'!$A$9)/MAX(1,COUNTIFS(Engagements!$B$5:$B$106,$A27,Engagements!$F$5:$F$106,'Weights &amp; Assumptions'!$A$9))+'Weights &amp; Assumptions'!$B$10*COUNTIFS(Engagements!$B$5:$B$106,$A27,Engagements!$D$5:$D$106,I$24,Engagements!$F$5:$F$106,'Weights &amp; Assumptions'!$A$10)/MAX(1,COUNTIFS(Engagements!$B$5:$B$106,$A27,Engagements!$F$5:$F$106,'Weights &amp; Assumptions'!$A$10))+'Weights &amp; Assumptions'!$B$11*COUNTIFS(Engagements!$B$5:$B$106,$A27,Engagements!$D$5:$D$106,I$24,Engagements!$F$5:$F$106,'Weights &amp; Assumptions'!$A$11)/MAX(1,COUNTIFS(Engagements!$B$5:$B$106,$A27,Engagements!$F$5:$F$106,'Weights &amp; Assumptions'!$A$11))+'Weights &amp; Assumptions'!$B$6*(COUNTIFS(Engagements!$B$5:$B$106,$A27,Engagements!$F$5:$F$106,"Acquisition")=0)*(VLOOKUP($A27,Customers!$A$5:$F$16,6,FALSE)=I$24)</f>
        <v/>
      </c>
      <c r="J27" s="112">
        <f>'Weights &amp; Assumptions'!$B$6*COUNTIFS(Engagements!$B$5:$B$106,$A27,Engagements!$D$5:$D$106,J$24,Engagements!$F$5:$F$106,'Weights &amp; Assumptions'!$A$6)/MAX(1,COUNTIFS(Engagements!$B$5:$B$106,$A27,Engagements!$F$5:$F$106,'Weights &amp; Assumptions'!$A$6))+'Weights &amp; Assumptions'!$B$7*COUNTIFS(Engagements!$B$5:$B$106,$A27,Engagements!$D$5:$D$106,J$24,Engagements!$F$5:$F$106,'Weights &amp; Assumptions'!$A$7)/MAX(1,COUNTIFS(Engagements!$B$5:$B$106,$A27,Engagements!$F$5:$F$106,'Weights &amp; Assumptions'!$A$7))+'Weights &amp; Assumptions'!$B$8*COUNTIFS(Engagements!$B$5:$B$106,$A27,Engagements!$D$5:$D$106,J$24,Engagements!$F$5:$F$106,'Weights &amp; Assumptions'!$A$8)/MAX(1,COUNTIFS(Engagements!$B$5:$B$106,$A27,Engagements!$F$5:$F$106,'Weights &amp; Assumptions'!$A$8))+'Weights &amp; Assumptions'!$B$9*COUNTIFS(Engagements!$B$5:$B$106,$A27,Engagements!$D$5:$D$106,J$24,Engagements!$F$5:$F$106,'Weights &amp; Assumptions'!$A$9)/MAX(1,COUNTIFS(Engagements!$B$5:$B$106,$A27,Engagements!$F$5:$F$106,'Weights &amp; Assumptions'!$A$9))+'Weights &amp; Assumptions'!$B$10*COUNTIFS(Engagements!$B$5:$B$106,$A27,Engagements!$D$5:$D$106,J$24,Engagements!$F$5:$F$106,'Weights &amp; Assumptions'!$A$10)/MAX(1,COUNTIFS(Engagements!$B$5:$B$106,$A27,Engagements!$F$5:$F$106,'Weights &amp; Assumptions'!$A$10))+'Weights &amp; Assumptions'!$B$11*COUNTIFS(Engagements!$B$5:$B$106,$A27,Engagements!$D$5:$D$106,J$24,Engagements!$F$5:$F$106,'Weights &amp; Assumptions'!$A$11)/MAX(1,COUNTIFS(Engagements!$B$5:$B$106,$A27,Engagements!$F$5:$F$106,'Weights &amp; Assumptions'!$A$11))+'Weights &amp; Assumptions'!$B$6*(COUNTIFS(Engagements!$B$5:$B$106,$A27,Engagements!$F$5:$F$106,"Acquisition")=0)*(VLOOKUP($A27,Customers!$A$5:$F$16,6,FALSE)=J$24)</f>
        <v/>
      </c>
      <c r="K27" s="112">
        <f>'Weights &amp; Assumptions'!$B$6*COUNTIFS(Engagements!$B$5:$B$106,$A27,Engagements!$D$5:$D$106,K$24,Engagements!$F$5:$F$106,'Weights &amp; Assumptions'!$A$6)/MAX(1,COUNTIFS(Engagements!$B$5:$B$106,$A27,Engagements!$F$5:$F$106,'Weights &amp; Assumptions'!$A$6))+'Weights &amp; Assumptions'!$B$7*COUNTIFS(Engagements!$B$5:$B$106,$A27,Engagements!$D$5:$D$106,K$24,Engagements!$F$5:$F$106,'Weights &amp; Assumptions'!$A$7)/MAX(1,COUNTIFS(Engagements!$B$5:$B$106,$A27,Engagements!$F$5:$F$106,'Weights &amp; Assumptions'!$A$7))+'Weights &amp; Assumptions'!$B$8*COUNTIFS(Engagements!$B$5:$B$106,$A27,Engagements!$D$5:$D$106,K$24,Engagements!$F$5:$F$106,'Weights &amp; Assumptions'!$A$8)/MAX(1,COUNTIFS(Engagements!$B$5:$B$106,$A27,Engagements!$F$5:$F$106,'Weights &amp; Assumptions'!$A$8))+'Weights &amp; Assumptions'!$B$9*COUNTIFS(Engagements!$B$5:$B$106,$A27,Engagements!$D$5:$D$106,K$24,Engagements!$F$5:$F$106,'Weights &amp; Assumptions'!$A$9)/MAX(1,COUNTIFS(Engagements!$B$5:$B$106,$A27,Engagements!$F$5:$F$106,'Weights &amp; Assumptions'!$A$9))+'Weights &amp; Assumptions'!$B$10*COUNTIFS(Engagements!$B$5:$B$106,$A27,Engagements!$D$5:$D$106,K$24,Engagements!$F$5:$F$106,'Weights &amp; Assumptions'!$A$10)/MAX(1,COUNTIFS(Engagements!$B$5:$B$106,$A27,Engagements!$F$5:$F$106,'Weights &amp; Assumptions'!$A$10))+'Weights &amp; Assumptions'!$B$11*COUNTIFS(Engagements!$B$5:$B$106,$A27,Engagements!$D$5:$D$106,K$24,Engagements!$F$5:$F$106,'Weights &amp; Assumptions'!$A$11)/MAX(1,COUNTIFS(Engagements!$B$5:$B$106,$A27,Engagements!$F$5:$F$106,'Weights &amp; Assumptions'!$A$11))+'Weights &amp; Assumptions'!$B$6*(COUNTIFS(Engagements!$B$5:$B$106,$A27,Engagements!$F$5:$F$106,"Acquisition")=0)*(VLOOKUP($A27,Customers!$A$5:$F$16,6,FALSE)=K$24)</f>
        <v/>
      </c>
      <c r="L27" s="112">
        <f>'Weights &amp; Assumptions'!$B$6*COUNTIFS(Engagements!$B$5:$B$106,$A27,Engagements!$D$5:$D$106,L$24,Engagements!$F$5:$F$106,'Weights &amp; Assumptions'!$A$6)/MAX(1,COUNTIFS(Engagements!$B$5:$B$106,$A27,Engagements!$F$5:$F$106,'Weights &amp; Assumptions'!$A$6))+'Weights &amp; Assumptions'!$B$7*COUNTIFS(Engagements!$B$5:$B$106,$A27,Engagements!$D$5:$D$106,L$24,Engagements!$F$5:$F$106,'Weights &amp; Assumptions'!$A$7)/MAX(1,COUNTIFS(Engagements!$B$5:$B$106,$A27,Engagements!$F$5:$F$106,'Weights &amp; Assumptions'!$A$7))+'Weights &amp; Assumptions'!$B$8*COUNTIFS(Engagements!$B$5:$B$106,$A27,Engagements!$D$5:$D$106,L$24,Engagements!$F$5:$F$106,'Weights &amp; Assumptions'!$A$8)/MAX(1,COUNTIFS(Engagements!$B$5:$B$106,$A27,Engagements!$F$5:$F$106,'Weights &amp; Assumptions'!$A$8))+'Weights &amp; Assumptions'!$B$9*COUNTIFS(Engagements!$B$5:$B$106,$A27,Engagements!$D$5:$D$106,L$24,Engagements!$F$5:$F$106,'Weights &amp; Assumptions'!$A$9)/MAX(1,COUNTIFS(Engagements!$B$5:$B$106,$A27,Engagements!$F$5:$F$106,'Weights &amp; Assumptions'!$A$9))+'Weights &amp; Assumptions'!$B$10*COUNTIFS(Engagements!$B$5:$B$106,$A27,Engagements!$D$5:$D$106,L$24,Engagements!$F$5:$F$106,'Weights &amp; Assumptions'!$A$10)/MAX(1,COUNTIFS(Engagements!$B$5:$B$106,$A27,Engagements!$F$5:$F$106,'Weights &amp; Assumptions'!$A$10))+'Weights &amp; Assumptions'!$B$11*COUNTIFS(Engagements!$B$5:$B$106,$A27,Engagements!$D$5:$D$106,L$24,Engagements!$F$5:$F$106,'Weights &amp; Assumptions'!$A$11)/MAX(1,COUNTIFS(Engagements!$B$5:$B$106,$A27,Engagements!$F$5:$F$106,'Weights &amp; Assumptions'!$A$11))+'Weights &amp; Assumptions'!$B$6*(COUNTIFS(Engagements!$B$5:$B$106,$A27,Engagements!$F$5:$F$106,"Acquisition")=0)*(VLOOKUP($A27,Customers!$A$5:$F$16,6,FALSE)=L$24)</f>
        <v/>
      </c>
      <c r="M27" s="112">
        <f>'Weights &amp; Assumptions'!$B$6*COUNTIFS(Engagements!$B$5:$B$106,$A27,Engagements!$D$5:$D$106,M$24,Engagements!$F$5:$F$106,'Weights &amp; Assumptions'!$A$6)/MAX(1,COUNTIFS(Engagements!$B$5:$B$106,$A27,Engagements!$F$5:$F$106,'Weights &amp; Assumptions'!$A$6))+'Weights &amp; Assumptions'!$B$7*COUNTIFS(Engagements!$B$5:$B$106,$A27,Engagements!$D$5:$D$106,M$24,Engagements!$F$5:$F$106,'Weights &amp; Assumptions'!$A$7)/MAX(1,COUNTIFS(Engagements!$B$5:$B$106,$A27,Engagements!$F$5:$F$106,'Weights &amp; Assumptions'!$A$7))+'Weights &amp; Assumptions'!$B$8*COUNTIFS(Engagements!$B$5:$B$106,$A27,Engagements!$D$5:$D$106,M$24,Engagements!$F$5:$F$106,'Weights &amp; Assumptions'!$A$8)/MAX(1,COUNTIFS(Engagements!$B$5:$B$106,$A27,Engagements!$F$5:$F$106,'Weights &amp; Assumptions'!$A$8))+'Weights &amp; Assumptions'!$B$9*COUNTIFS(Engagements!$B$5:$B$106,$A27,Engagements!$D$5:$D$106,M$24,Engagements!$F$5:$F$106,'Weights &amp; Assumptions'!$A$9)/MAX(1,COUNTIFS(Engagements!$B$5:$B$106,$A27,Engagements!$F$5:$F$106,'Weights &amp; Assumptions'!$A$9))+'Weights &amp; Assumptions'!$B$10*COUNTIFS(Engagements!$B$5:$B$106,$A27,Engagements!$D$5:$D$106,M$24,Engagements!$F$5:$F$106,'Weights &amp; Assumptions'!$A$10)/MAX(1,COUNTIFS(Engagements!$B$5:$B$106,$A27,Engagements!$F$5:$F$106,'Weights &amp; Assumptions'!$A$10))+'Weights &amp; Assumptions'!$B$11*COUNTIFS(Engagements!$B$5:$B$106,$A27,Engagements!$D$5:$D$106,M$24,Engagements!$F$5:$F$106,'Weights &amp; Assumptions'!$A$11)/MAX(1,COUNTIFS(Engagements!$B$5:$B$106,$A27,Engagements!$F$5:$F$106,'Weights &amp; Assumptions'!$A$11))+'Weights &amp; Assumptions'!$B$6*(COUNTIFS(Engagements!$B$5:$B$106,$A27,Engagements!$F$5:$F$106,"Acquisition")=0)*(VLOOKUP($A27,Customers!$A$5:$F$16,6,FALSE)=M$24)</f>
        <v/>
      </c>
      <c r="N27" s="112">
        <f>'Weights &amp; Assumptions'!$B$6*COUNTIFS(Engagements!$B$5:$B$106,$A27,Engagements!$D$5:$D$106,N$24,Engagements!$F$5:$F$106,'Weights &amp; Assumptions'!$A$6)/MAX(1,COUNTIFS(Engagements!$B$5:$B$106,$A27,Engagements!$F$5:$F$106,'Weights &amp; Assumptions'!$A$6))+'Weights &amp; Assumptions'!$B$7*COUNTIFS(Engagements!$B$5:$B$106,$A27,Engagements!$D$5:$D$106,N$24,Engagements!$F$5:$F$106,'Weights &amp; Assumptions'!$A$7)/MAX(1,COUNTIFS(Engagements!$B$5:$B$106,$A27,Engagements!$F$5:$F$106,'Weights &amp; Assumptions'!$A$7))+'Weights &amp; Assumptions'!$B$8*COUNTIFS(Engagements!$B$5:$B$106,$A27,Engagements!$D$5:$D$106,N$24,Engagements!$F$5:$F$106,'Weights &amp; Assumptions'!$A$8)/MAX(1,COUNTIFS(Engagements!$B$5:$B$106,$A27,Engagements!$F$5:$F$106,'Weights &amp; Assumptions'!$A$8))+'Weights &amp; Assumptions'!$B$9*COUNTIFS(Engagements!$B$5:$B$106,$A27,Engagements!$D$5:$D$106,N$24,Engagements!$F$5:$F$106,'Weights &amp; Assumptions'!$A$9)/MAX(1,COUNTIFS(Engagements!$B$5:$B$106,$A27,Engagements!$F$5:$F$106,'Weights &amp; Assumptions'!$A$9))+'Weights &amp; Assumptions'!$B$10*COUNTIFS(Engagements!$B$5:$B$106,$A27,Engagements!$D$5:$D$106,N$24,Engagements!$F$5:$F$106,'Weights &amp; Assumptions'!$A$10)/MAX(1,COUNTIFS(Engagements!$B$5:$B$106,$A27,Engagements!$F$5:$F$106,'Weights &amp; Assumptions'!$A$10))+'Weights &amp; Assumptions'!$B$11*COUNTIFS(Engagements!$B$5:$B$106,$A27,Engagements!$D$5:$D$106,N$24,Engagements!$F$5:$F$106,'Weights &amp; Assumptions'!$A$11)/MAX(1,COUNTIFS(Engagements!$B$5:$B$106,$A27,Engagements!$F$5:$F$106,'Weights &amp; Assumptions'!$A$11))+'Weights &amp; Assumptions'!$B$6*(COUNTIFS(Engagements!$B$5:$B$106,$A27,Engagements!$F$5:$F$106,"Acquisition")=0)*(VLOOKUP($A27,Customers!$A$5:$F$16,6,FALSE)=N$24)</f>
        <v/>
      </c>
      <c r="O27" s="76">
        <f>ROUND(SUM(C27:N27),1)</f>
        <v/>
      </c>
      <c r="P27" s="76">
        <f>ROUND('Weights &amp; Assumptions'!$B$12-O27,1)</f>
        <v/>
      </c>
    </row>
    <row r="28">
      <c r="A28" s="73">
        <f>Customers!A8</f>
        <v/>
      </c>
      <c r="B28" s="73">
        <f>Customers!B8</f>
        <v/>
      </c>
      <c r="C28" s="112">
        <f>'Weights &amp; Assumptions'!$B$6*COUNTIFS(Engagements!$B$5:$B$106,$A28,Engagements!$D$5:$D$106,C$24,Engagements!$F$5:$F$106,'Weights &amp; Assumptions'!$A$6)/MAX(1,COUNTIFS(Engagements!$B$5:$B$106,$A28,Engagements!$F$5:$F$106,'Weights &amp; Assumptions'!$A$6))+'Weights &amp; Assumptions'!$B$7*COUNTIFS(Engagements!$B$5:$B$106,$A28,Engagements!$D$5:$D$106,C$24,Engagements!$F$5:$F$106,'Weights &amp; Assumptions'!$A$7)/MAX(1,COUNTIFS(Engagements!$B$5:$B$106,$A28,Engagements!$F$5:$F$106,'Weights &amp; Assumptions'!$A$7))+'Weights &amp; Assumptions'!$B$8*COUNTIFS(Engagements!$B$5:$B$106,$A28,Engagements!$D$5:$D$106,C$24,Engagements!$F$5:$F$106,'Weights &amp; Assumptions'!$A$8)/MAX(1,COUNTIFS(Engagements!$B$5:$B$106,$A28,Engagements!$F$5:$F$106,'Weights &amp; Assumptions'!$A$8))+'Weights &amp; Assumptions'!$B$9*COUNTIFS(Engagements!$B$5:$B$106,$A28,Engagements!$D$5:$D$106,C$24,Engagements!$F$5:$F$106,'Weights &amp; Assumptions'!$A$9)/MAX(1,COUNTIFS(Engagements!$B$5:$B$106,$A28,Engagements!$F$5:$F$106,'Weights &amp; Assumptions'!$A$9))+'Weights &amp; Assumptions'!$B$10*COUNTIFS(Engagements!$B$5:$B$106,$A28,Engagements!$D$5:$D$106,C$24,Engagements!$F$5:$F$106,'Weights &amp; Assumptions'!$A$10)/MAX(1,COUNTIFS(Engagements!$B$5:$B$106,$A28,Engagements!$F$5:$F$106,'Weights &amp; Assumptions'!$A$10))+'Weights &amp; Assumptions'!$B$11*COUNTIFS(Engagements!$B$5:$B$106,$A28,Engagements!$D$5:$D$106,C$24,Engagements!$F$5:$F$106,'Weights &amp; Assumptions'!$A$11)/MAX(1,COUNTIFS(Engagements!$B$5:$B$106,$A28,Engagements!$F$5:$F$106,'Weights &amp; Assumptions'!$A$11))+'Weights &amp; Assumptions'!$B$6*(COUNTIFS(Engagements!$B$5:$B$106,$A28,Engagements!$F$5:$F$106,"Acquisition")=0)*(VLOOKUP($A28,Customers!$A$5:$F$16,6,FALSE)=C$24)</f>
        <v/>
      </c>
      <c r="D28" s="112">
        <f>'Weights &amp; Assumptions'!$B$6*COUNTIFS(Engagements!$B$5:$B$106,$A28,Engagements!$D$5:$D$106,D$24,Engagements!$F$5:$F$106,'Weights &amp; Assumptions'!$A$6)/MAX(1,COUNTIFS(Engagements!$B$5:$B$106,$A28,Engagements!$F$5:$F$106,'Weights &amp; Assumptions'!$A$6))+'Weights &amp; Assumptions'!$B$7*COUNTIFS(Engagements!$B$5:$B$106,$A28,Engagements!$D$5:$D$106,D$24,Engagements!$F$5:$F$106,'Weights &amp; Assumptions'!$A$7)/MAX(1,COUNTIFS(Engagements!$B$5:$B$106,$A28,Engagements!$F$5:$F$106,'Weights &amp; Assumptions'!$A$7))+'Weights &amp; Assumptions'!$B$8*COUNTIFS(Engagements!$B$5:$B$106,$A28,Engagements!$D$5:$D$106,D$24,Engagements!$F$5:$F$106,'Weights &amp; Assumptions'!$A$8)/MAX(1,COUNTIFS(Engagements!$B$5:$B$106,$A28,Engagements!$F$5:$F$106,'Weights &amp; Assumptions'!$A$8))+'Weights &amp; Assumptions'!$B$9*COUNTIFS(Engagements!$B$5:$B$106,$A28,Engagements!$D$5:$D$106,D$24,Engagements!$F$5:$F$106,'Weights &amp; Assumptions'!$A$9)/MAX(1,COUNTIFS(Engagements!$B$5:$B$106,$A28,Engagements!$F$5:$F$106,'Weights &amp; Assumptions'!$A$9))+'Weights &amp; Assumptions'!$B$10*COUNTIFS(Engagements!$B$5:$B$106,$A28,Engagements!$D$5:$D$106,D$24,Engagements!$F$5:$F$106,'Weights &amp; Assumptions'!$A$10)/MAX(1,COUNTIFS(Engagements!$B$5:$B$106,$A28,Engagements!$F$5:$F$106,'Weights &amp; Assumptions'!$A$10))+'Weights &amp; Assumptions'!$B$11*COUNTIFS(Engagements!$B$5:$B$106,$A28,Engagements!$D$5:$D$106,D$24,Engagements!$F$5:$F$106,'Weights &amp; Assumptions'!$A$11)/MAX(1,COUNTIFS(Engagements!$B$5:$B$106,$A28,Engagements!$F$5:$F$106,'Weights &amp; Assumptions'!$A$11))+'Weights &amp; Assumptions'!$B$6*(COUNTIFS(Engagements!$B$5:$B$106,$A28,Engagements!$F$5:$F$106,"Acquisition")=0)*(VLOOKUP($A28,Customers!$A$5:$F$16,6,FALSE)=D$24)</f>
        <v/>
      </c>
      <c r="E28" s="112">
        <f>'Weights &amp; Assumptions'!$B$6*COUNTIFS(Engagements!$B$5:$B$106,$A28,Engagements!$D$5:$D$106,E$24,Engagements!$F$5:$F$106,'Weights &amp; Assumptions'!$A$6)/MAX(1,COUNTIFS(Engagements!$B$5:$B$106,$A28,Engagements!$F$5:$F$106,'Weights &amp; Assumptions'!$A$6))+'Weights &amp; Assumptions'!$B$7*COUNTIFS(Engagements!$B$5:$B$106,$A28,Engagements!$D$5:$D$106,E$24,Engagements!$F$5:$F$106,'Weights &amp; Assumptions'!$A$7)/MAX(1,COUNTIFS(Engagements!$B$5:$B$106,$A28,Engagements!$F$5:$F$106,'Weights &amp; Assumptions'!$A$7))+'Weights &amp; Assumptions'!$B$8*COUNTIFS(Engagements!$B$5:$B$106,$A28,Engagements!$D$5:$D$106,E$24,Engagements!$F$5:$F$106,'Weights &amp; Assumptions'!$A$8)/MAX(1,COUNTIFS(Engagements!$B$5:$B$106,$A28,Engagements!$F$5:$F$106,'Weights &amp; Assumptions'!$A$8))+'Weights &amp; Assumptions'!$B$9*COUNTIFS(Engagements!$B$5:$B$106,$A28,Engagements!$D$5:$D$106,E$24,Engagements!$F$5:$F$106,'Weights &amp; Assumptions'!$A$9)/MAX(1,COUNTIFS(Engagements!$B$5:$B$106,$A28,Engagements!$F$5:$F$106,'Weights &amp; Assumptions'!$A$9))+'Weights &amp; Assumptions'!$B$10*COUNTIFS(Engagements!$B$5:$B$106,$A28,Engagements!$D$5:$D$106,E$24,Engagements!$F$5:$F$106,'Weights &amp; Assumptions'!$A$10)/MAX(1,COUNTIFS(Engagements!$B$5:$B$106,$A28,Engagements!$F$5:$F$106,'Weights &amp; Assumptions'!$A$10))+'Weights &amp; Assumptions'!$B$11*COUNTIFS(Engagements!$B$5:$B$106,$A28,Engagements!$D$5:$D$106,E$24,Engagements!$F$5:$F$106,'Weights &amp; Assumptions'!$A$11)/MAX(1,COUNTIFS(Engagements!$B$5:$B$106,$A28,Engagements!$F$5:$F$106,'Weights &amp; Assumptions'!$A$11))+'Weights &amp; Assumptions'!$B$6*(COUNTIFS(Engagements!$B$5:$B$106,$A28,Engagements!$F$5:$F$106,"Acquisition")=0)*(VLOOKUP($A28,Customers!$A$5:$F$16,6,FALSE)=E$24)</f>
        <v/>
      </c>
      <c r="F28" s="112">
        <f>'Weights &amp; Assumptions'!$B$6*COUNTIFS(Engagements!$B$5:$B$106,$A28,Engagements!$D$5:$D$106,F$24,Engagements!$F$5:$F$106,'Weights &amp; Assumptions'!$A$6)/MAX(1,COUNTIFS(Engagements!$B$5:$B$106,$A28,Engagements!$F$5:$F$106,'Weights &amp; Assumptions'!$A$6))+'Weights &amp; Assumptions'!$B$7*COUNTIFS(Engagements!$B$5:$B$106,$A28,Engagements!$D$5:$D$106,F$24,Engagements!$F$5:$F$106,'Weights &amp; Assumptions'!$A$7)/MAX(1,COUNTIFS(Engagements!$B$5:$B$106,$A28,Engagements!$F$5:$F$106,'Weights &amp; Assumptions'!$A$7))+'Weights &amp; Assumptions'!$B$8*COUNTIFS(Engagements!$B$5:$B$106,$A28,Engagements!$D$5:$D$106,F$24,Engagements!$F$5:$F$106,'Weights &amp; Assumptions'!$A$8)/MAX(1,COUNTIFS(Engagements!$B$5:$B$106,$A28,Engagements!$F$5:$F$106,'Weights &amp; Assumptions'!$A$8))+'Weights &amp; Assumptions'!$B$9*COUNTIFS(Engagements!$B$5:$B$106,$A28,Engagements!$D$5:$D$106,F$24,Engagements!$F$5:$F$106,'Weights &amp; Assumptions'!$A$9)/MAX(1,COUNTIFS(Engagements!$B$5:$B$106,$A28,Engagements!$F$5:$F$106,'Weights &amp; Assumptions'!$A$9))+'Weights &amp; Assumptions'!$B$10*COUNTIFS(Engagements!$B$5:$B$106,$A28,Engagements!$D$5:$D$106,F$24,Engagements!$F$5:$F$106,'Weights &amp; Assumptions'!$A$10)/MAX(1,COUNTIFS(Engagements!$B$5:$B$106,$A28,Engagements!$F$5:$F$106,'Weights &amp; Assumptions'!$A$10))+'Weights &amp; Assumptions'!$B$11*COUNTIFS(Engagements!$B$5:$B$106,$A28,Engagements!$D$5:$D$106,F$24,Engagements!$F$5:$F$106,'Weights &amp; Assumptions'!$A$11)/MAX(1,COUNTIFS(Engagements!$B$5:$B$106,$A28,Engagements!$F$5:$F$106,'Weights &amp; Assumptions'!$A$11))+'Weights &amp; Assumptions'!$B$6*(COUNTIFS(Engagements!$B$5:$B$106,$A28,Engagements!$F$5:$F$106,"Acquisition")=0)*(VLOOKUP($A28,Customers!$A$5:$F$16,6,FALSE)=F$24)</f>
        <v/>
      </c>
      <c r="G28" s="112">
        <f>'Weights &amp; Assumptions'!$B$6*COUNTIFS(Engagements!$B$5:$B$106,$A28,Engagements!$D$5:$D$106,G$24,Engagements!$F$5:$F$106,'Weights &amp; Assumptions'!$A$6)/MAX(1,COUNTIFS(Engagements!$B$5:$B$106,$A28,Engagements!$F$5:$F$106,'Weights &amp; Assumptions'!$A$6))+'Weights &amp; Assumptions'!$B$7*COUNTIFS(Engagements!$B$5:$B$106,$A28,Engagements!$D$5:$D$106,G$24,Engagements!$F$5:$F$106,'Weights &amp; Assumptions'!$A$7)/MAX(1,COUNTIFS(Engagements!$B$5:$B$106,$A28,Engagements!$F$5:$F$106,'Weights &amp; Assumptions'!$A$7))+'Weights &amp; Assumptions'!$B$8*COUNTIFS(Engagements!$B$5:$B$106,$A28,Engagements!$D$5:$D$106,G$24,Engagements!$F$5:$F$106,'Weights &amp; Assumptions'!$A$8)/MAX(1,COUNTIFS(Engagements!$B$5:$B$106,$A28,Engagements!$F$5:$F$106,'Weights &amp; Assumptions'!$A$8))+'Weights &amp; Assumptions'!$B$9*COUNTIFS(Engagements!$B$5:$B$106,$A28,Engagements!$D$5:$D$106,G$24,Engagements!$F$5:$F$106,'Weights &amp; Assumptions'!$A$9)/MAX(1,COUNTIFS(Engagements!$B$5:$B$106,$A28,Engagements!$F$5:$F$106,'Weights &amp; Assumptions'!$A$9))+'Weights &amp; Assumptions'!$B$10*COUNTIFS(Engagements!$B$5:$B$106,$A28,Engagements!$D$5:$D$106,G$24,Engagements!$F$5:$F$106,'Weights &amp; Assumptions'!$A$10)/MAX(1,COUNTIFS(Engagements!$B$5:$B$106,$A28,Engagements!$F$5:$F$106,'Weights &amp; Assumptions'!$A$10))+'Weights &amp; Assumptions'!$B$11*COUNTIFS(Engagements!$B$5:$B$106,$A28,Engagements!$D$5:$D$106,G$24,Engagements!$F$5:$F$106,'Weights &amp; Assumptions'!$A$11)/MAX(1,COUNTIFS(Engagements!$B$5:$B$106,$A28,Engagements!$F$5:$F$106,'Weights &amp; Assumptions'!$A$11))+'Weights &amp; Assumptions'!$B$6*(COUNTIFS(Engagements!$B$5:$B$106,$A28,Engagements!$F$5:$F$106,"Acquisition")=0)*(VLOOKUP($A28,Customers!$A$5:$F$16,6,FALSE)=G$24)</f>
        <v/>
      </c>
      <c r="H28" s="112">
        <f>'Weights &amp; Assumptions'!$B$6*COUNTIFS(Engagements!$B$5:$B$106,$A28,Engagements!$D$5:$D$106,H$24,Engagements!$F$5:$F$106,'Weights &amp; Assumptions'!$A$6)/MAX(1,COUNTIFS(Engagements!$B$5:$B$106,$A28,Engagements!$F$5:$F$106,'Weights &amp; Assumptions'!$A$6))+'Weights &amp; Assumptions'!$B$7*COUNTIFS(Engagements!$B$5:$B$106,$A28,Engagements!$D$5:$D$106,H$24,Engagements!$F$5:$F$106,'Weights &amp; Assumptions'!$A$7)/MAX(1,COUNTIFS(Engagements!$B$5:$B$106,$A28,Engagements!$F$5:$F$106,'Weights &amp; Assumptions'!$A$7))+'Weights &amp; Assumptions'!$B$8*COUNTIFS(Engagements!$B$5:$B$106,$A28,Engagements!$D$5:$D$106,H$24,Engagements!$F$5:$F$106,'Weights &amp; Assumptions'!$A$8)/MAX(1,COUNTIFS(Engagements!$B$5:$B$106,$A28,Engagements!$F$5:$F$106,'Weights &amp; Assumptions'!$A$8))+'Weights &amp; Assumptions'!$B$9*COUNTIFS(Engagements!$B$5:$B$106,$A28,Engagements!$D$5:$D$106,H$24,Engagements!$F$5:$F$106,'Weights &amp; Assumptions'!$A$9)/MAX(1,COUNTIFS(Engagements!$B$5:$B$106,$A28,Engagements!$F$5:$F$106,'Weights &amp; Assumptions'!$A$9))+'Weights &amp; Assumptions'!$B$10*COUNTIFS(Engagements!$B$5:$B$106,$A28,Engagements!$D$5:$D$106,H$24,Engagements!$F$5:$F$106,'Weights &amp; Assumptions'!$A$10)/MAX(1,COUNTIFS(Engagements!$B$5:$B$106,$A28,Engagements!$F$5:$F$106,'Weights &amp; Assumptions'!$A$10))+'Weights &amp; Assumptions'!$B$11*COUNTIFS(Engagements!$B$5:$B$106,$A28,Engagements!$D$5:$D$106,H$24,Engagements!$F$5:$F$106,'Weights &amp; Assumptions'!$A$11)/MAX(1,COUNTIFS(Engagements!$B$5:$B$106,$A28,Engagements!$F$5:$F$106,'Weights &amp; Assumptions'!$A$11))+'Weights &amp; Assumptions'!$B$6*(COUNTIFS(Engagements!$B$5:$B$106,$A28,Engagements!$F$5:$F$106,"Acquisition")=0)*(VLOOKUP($A28,Customers!$A$5:$F$16,6,FALSE)=H$24)</f>
        <v/>
      </c>
      <c r="I28" s="112">
        <f>'Weights &amp; Assumptions'!$B$6*COUNTIFS(Engagements!$B$5:$B$106,$A28,Engagements!$D$5:$D$106,I$24,Engagements!$F$5:$F$106,'Weights &amp; Assumptions'!$A$6)/MAX(1,COUNTIFS(Engagements!$B$5:$B$106,$A28,Engagements!$F$5:$F$106,'Weights &amp; Assumptions'!$A$6))+'Weights &amp; Assumptions'!$B$7*COUNTIFS(Engagements!$B$5:$B$106,$A28,Engagements!$D$5:$D$106,I$24,Engagements!$F$5:$F$106,'Weights &amp; Assumptions'!$A$7)/MAX(1,COUNTIFS(Engagements!$B$5:$B$106,$A28,Engagements!$F$5:$F$106,'Weights &amp; Assumptions'!$A$7))+'Weights &amp; Assumptions'!$B$8*COUNTIFS(Engagements!$B$5:$B$106,$A28,Engagements!$D$5:$D$106,I$24,Engagements!$F$5:$F$106,'Weights &amp; Assumptions'!$A$8)/MAX(1,COUNTIFS(Engagements!$B$5:$B$106,$A28,Engagements!$F$5:$F$106,'Weights &amp; Assumptions'!$A$8))+'Weights &amp; Assumptions'!$B$9*COUNTIFS(Engagements!$B$5:$B$106,$A28,Engagements!$D$5:$D$106,I$24,Engagements!$F$5:$F$106,'Weights &amp; Assumptions'!$A$9)/MAX(1,COUNTIFS(Engagements!$B$5:$B$106,$A28,Engagements!$F$5:$F$106,'Weights &amp; Assumptions'!$A$9))+'Weights &amp; Assumptions'!$B$10*COUNTIFS(Engagements!$B$5:$B$106,$A28,Engagements!$D$5:$D$106,I$24,Engagements!$F$5:$F$106,'Weights &amp; Assumptions'!$A$10)/MAX(1,COUNTIFS(Engagements!$B$5:$B$106,$A28,Engagements!$F$5:$F$106,'Weights &amp; Assumptions'!$A$10))+'Weights &amp; Assumptions'!$B$11*COUNTIFS(Engagements!$B$5:$B$106,$A28,Engagements!$D$5:$D$106,I$24,Engagements!$F$5:$F$106,'Weights &amp; Assumptions'!$A$11)/MAX(1,COUNTIFS(Engagements!$B$5:$B$106,$A28,Engagements!$F$5:$F$106,'Weights &amp; Assumptions'!$A$11))+'Weights &amp; Assumptions'!$B$6*(COUNTIFS(Engagements!$B$5:$B$106,$A28,Engagements!$F$5:$F$106,"Acquisition")=0)*(VLOOKUP($A28,Customers!$A$5:$F$16,6,FALSE)=I$24)</f>
        <v/>
      </c>
      <c r="J28" s="112">
        <f>'Weights &amp; Assumptions'!$B$6*COUNTIFS(Engagements!$B$5:$B$106,$A28,Engagements!$D$5:$D$106,J$24,Engagements!$F$5:$F$106,'Weights &amp; Assumptions'!$A$6)/MAX(1,COUNTIFS(Engagements!$B$5:$B$106,$A28,Engagements!$F$5:$F$106,'Weights &amp; Assumptions'!$A$6))+'Weights &amp; Assumptions'!$B$7*COUNTIFS(Engagements!$B$5:$B$106,$A28,Engagements!$D$5:$D$106,J$24,Engagements!$F$5:$F$106,'Weights &amp; Assumptions'!$A$7)/MAX(1,COUNTIFS(Engagements!$B$5:$B$106,$A28,Engagements!$F$5:$F$106,'Weights &amp; Assumptions'!$A$7))+'Weights &amp; Assumptions'!$B$8*COUNTIFS(Engagements!$B$5:$B$106,$A28,Engagements!$D$5:$D$106,J$24,Engagements!$F$5:$F$106,'Weights &amp; Assumptions'!$A$8)/MAX(1,COUNTIFS(Engagements!$B$5:$B$106,$A28,Engagements!$F$5:$F$106,'Weights &amp; Assumptions'!$A$8))+'Weights &amp; Assumptions'!$B$9*COUNTIFS(Engagements!$B$5:$B$106,$A28,Engagements!$D$5:$D$106,J$24,Engagements!$F$5:$F$106,'Weights &amp; Assumptions'!$A$9)/MAX(1,COUNTIFS(Engagements!$B$5:$B$106,$A28,Engagements!$F$5:$F$106,'Weights &amp; Assumptions'!$A$9))+'Weights &amp; Assumptions'!$B$10*COUNTIFS(Engagements!$B$5:$B$106,$A28,Engagements!$D$5:$D$106,J$24,Engagements!$F$5:$F$106,'Weights &amp; Assumptions'!$A$10)/MAX(1,COUNTIFS(Engagements!$B$5:$B$106,$A28,Engagements!$F$5:$F$106,'Weights &amp; Assumptions'!$A$10))+'Weights &amp; Assumptions'!$B$11*COUNTIFS(Engagements!$B$5:$B$106,$A28,Engagements!$D$5:$D$106,J$24,Engagements!$F$5:$F$106,'Weights &amp; Assumptions'!$A$11)/MAX(1,COUNTIFS(Engagements!$B$5:$B$106,$A28,Engagements!$F$5:$F$106,'Weights &amp; Assumptions'!$A$11))+'Weights &amp; Assumptions'!$B$6*(COUNTIFS(Engagements!$B$5:$B$106,$A28,Engagements!$F$5:$F$106,"Acquisition")=0)*(VLOOKUP($A28,Customers!$A$5:$F$16,6,FALSE)=J$24)</f>
        <v/>
      </c>
      <c r="K28" s="112">
        <f>'Weights &amp; Assumptions'!$B$6*COUNTIFS(Engagements!$B$5:$B$106,$A28,Engagements!$D$5:$D$106,K$24,Engagements!$F$5:$F$106,'Weights &amp; Assumptions'!$A$6)/MAX(1,COUNTIFS(Engagements!$B$5:$B$106,$A28,Engagements!$F$5:$F$106,'Weights &amp; Assumptions'!$A$6))+'Weights &amp; Assumptions'!$B$7*COUNTIFS(Engagements!$B$5:$B$106,$A28,Engagements!$D$5:$D$106,K$24,Engagements!$F$5:$F$106,'Weights &amp; Assumptions'!$A$7)/MAX(1,COUNTIFS(Engagements!$B$5:$B$106,$A28,Engagements!$F$5:$F$106,'Weights &amp; Assumptions'!$A$7))+'Weights &amp; Assumptions'!$B$8*COUNTIFS(Engagements!$B$5:$B$106,$A28,Engagements!$D$5:$D$106,K$24,Engagements!$F$5:$F$106,'Weights &amp; Assumptions'!$A$8)/MAX(1,COUNTIFS(Engagements!$B$5:$B$106,$A28,Engagements!$F$5:$F$106,'Weights &amp; Assumptions'!$A$8))+'Weights &amp; Assumptions'!$B$9*COUNTIFS(Engagements!$B$5:$B$106,$A28,Engagements!$D$5:$D$106,K$24,Engagements!$F$5:$F$106,'Weights &amp; Assumptions'!$A$9)/MAX(1,COUNTIFS(Engagements!$B$5:$B$106,$A28,Engagements!$F$5:$F$106,'Weights &amp; Assumptions'!$A$9))+'Weights &amp; Assumptions'!$B$10*COUNTIFS(Engagements!$B$5:$B$106,$A28,Engagements!$D$5:$D$106,K$24,Engagements!$F$5:$F$106,'Weights &amp; Assumptions'!$A$10)/MAX(1,COUNTIFS(Engagements!$B$5:$B$106,$A28,Engagements!$F$5:$F$106,'Weights &amp; Assumptions'!$A$10))+'Weights &amp; Assumptions'!$B$11*COUNTIFS(Engagements!$B$5:$B$106,$A28,Engagements!$D$5:$D$106,K$24,Engagements!$F$5:$F$106,'Weights &amp; Assumptions'!$A$11)/MAX(1,COUNTIFS(Engagements!$B$5:$B$106,$A28,Engagements!$F$5:$F$106,'Weights &amp; Assumptions'!$A$11))+'Weights &amp; Assumptions'!$B$6*(COUNTIFS(Engagements!$B$5:$B$106,$A28,Engagements!$F$5:$F$106,"Acquisition")=0)*(VLOOKUP($A28,Customers!$A$5:$F$16,6,FALSE)=K$24)</f>
        <v/>
      </c>
      <c r="L28" s="112">
        <f>'Weights &amp; Assumptions'!$B$6*COUNTIFS(Engagements!$B$5:$B$106,$A28,Engagements!$D$5:$D$106,L$24,Engagements!$F$5:$F$106,'Weights &amp; Assumptions'!$A$6)/MAX(1,COUNTIFS(Engagements!$B$5:$B$106,$A28,Engagements!$F$5:$F$106,'Weights &amp; Assumptions'!$A$6))+'Weights &amp; Assumptions'!$B$7*COUNTIFS(Engagements!$B$5:$B$106,$A28,Engagements!$D$5:$D$106,L$24,Engagements!$F$5:$F$106,'Weights &amp; Assumptions'!$A$7)/MAX(1,COUNTIFS(Engagements!$B$5:$B$106,$A28,Engagements!$F$5:$F$106,'Weights &amp; Assumptions'!$A$7))+'Weights &amp; Assumptions'!$B$8*COUNTIFS(Engagements!$B$5:$B$106,$A28,Engagements!$D$5:$D$106,L$24,Engagements!$F$5:$F$106,'Weights &amp; Assumptions'!$A$8)/MAX(1,COUNTIFS(Engagements!$B$5:$B$106,$A28,Engagements!$F$5:$F$106,'Weights &amp; Assumptions'!$A$8))+'Weights &amp; Assumptions'!$B$9*COUNTIFS(Engagements!$B$5:$B$106,$A28,Engagements!$D$5:$D$106,L$24,Engagements!$F$5:$F$106,'Weights &amp; Assumptions'!$A$9)/MAX(1,COUNTIFS(Engagements!$B$5:$B$106,$A28,Engagements!$F$5:$F$106,'Weights &amp; Assumptions'!$A$9))+'Weights &amp; Assumptions'!$B$10*COUNTIFS(Engagements!$B$5:$B$106,$A28,Engagements!$D$5:$D$106,L$24,Engagements!$F$5:$F$106,'Weights &amp; Assumptions'!$A$10)/MAX(1,COUNTIFS(Engagements!$B$5:$B$106,$A28,Engagements!$F$5:$F$106,'Weights &amp; Assumptions'!$A$10))+'Weights &amp; Assumptions'!$B$11*COUNTIFS(Engagements!$B$5:$B$106,$A28,Engagements!$D$5:$D$106,L$24,Engagements!$F$5:$F$106,'Weights &amp; Assumptions'!$A$11)/MAX(1,COUNTIFS(Engagements!$B$5:$B$106,$A28,Engagements!$F$5:$F$106,'Weights &amp; Assumptions'!$A$11))+'Weights &amp; Assumptions'!$B$6*(COUNTIFS(Engagements!$B$5:$B$106,$A28,Engagements!$F$5:$F$106,"Acquisition")=0)*(VLOOKUP($A28,Customers!$A$5:$F$16,6,FALSE)=L$24)</f>
        <v/>
      </c>
      <c r="M28" s="112">
        <f>'Weights &amp; Assumptions'!$B$6*COUNTIFS(Engagements!$B$5:$B$106,$A28,Engagements!$D$5:$D$106,M$24,Engagements!$F$5:$F$106,'Weights &amp; Assumptions'!$A$6)/MAX(1,COUNTIFS(Engagements!$B$5:$B$106,$A28,Engagements!$F$5:$F$106,'Weights &amp; Assumptions'!$A$6))+'Weights &amp; Assumptions'!$B$7*COUNTIFS(Engagements!$B$5:$B$106,$A28,Engagements!$D$5:$D$106,M$24,Engagements!$F$5:$F$106,'Weights &amp; Assumptions'!$A$7)/MAX(1,COUNTIFS(Engagements!$B$5:$B$106,$A28,Engagements!$F$5:$F$106,'Weights &amp; Assumptions'!$A$7))+'Weights &amp; Assumptions'!$B$8*COUNTIFS(Engagements!$B$5:$B$106,$A28,Engagements!$D$5:$D$106,M$24,Engagements!$F$5:$F$106,'Weights &amp; Assumptions'!$A$8)/MAX(1,COUNTIFS(Engagements!$B$5:$B$106,$A28,Engagements!$F$5:$F$106,'Weights &amp; Assumptions'!$A$8))+'Weights &amp; Assumptions'!$B$9*COUNTIFS(Engagements!$B$5:$B$106,$A28,Engagements!$D$5:$D$106,M$24,Engagements!$F$5:$F$106,'Weights &amp; Assumptions'!$A$9)/MAX(1,COUNTIFS(Engagements!$B$5:$B$106,$A28,Engagements!$F$5:$F$106,'Weights &amp; Assumptions'!$A$9))+'Weights &amp; Assumptions'!$B$10*COUNTIFS(Engagements!$B$5:$B$106,$A28,Engagements!$D$5:$D$106,M$24,Engagements!$F$5:$F$106,'Weights &amp; Assumptions'!$A$10)/MAX(1,COUNTIFS(Engagements!$B$5:$B$106,$A28,Engagements!$F$5:$F$106,'Weights &amp; Assumptions'!$A$10))+'Weights &amp; Assumptions'!$B$11*COUNTIFS(Engagements!$B$5:$B$106,$A28,Engagements!$D$5:$D$106,M$24,Engagements!$F$5:$F$106,'Weights &amp; Assumptions'!$A$11)/MAX(1,COUNTIFS(Engagements!$B$5:$B$106,$A28,Engagements!$F$5:$F$106,'Weights &amp; Assumptions'!$A$11))+'Weights &amp; Assumptions'!$B$6*(COUNTIFS(Engagements!$B$5:$B$106,$A28,Engagements!$F$5:$F$106,"Acquisition")=0)*(VLOOKUP($A28,Customers!$A$5:$F$16,6,FALSE)=M$24)</f>
        <v/>
      </c>
      <c r="N28" s="112">
        <f>'Weights &amp; Assumptions'!$B$6*COUNTIFS(Engagements!$B$5:$B$106,$A28,Engagements!$D$5:$D$106,N$24,Engagements!$F$5:$F$106,'Weights &amp; Assumptions'!$A$6)/MAX(1,COUNTIFS(Engagements!$B$5:$B$106,$A28,Engagements!$F$5:$F$106,'Weights &amp; Assumptions'!$A$6))+'Weights &amp; Assumptions'!$B$7*COUNTIFS(Engagements!$B$5:$B$106,$A28,Engagements!$D$5:$D$106,N$24,Engagements!$F$5:$F$106,'Weights &amp; Assumptions'!$A$7)/MAX(1,COUNTIFS(Engagements!$B$5:$B$106,$A28,Engagements!$F$5:$F$106,'Weights &amp; Assumptions'!$A$7))+'Weights &amp; Assumptions'!$B$8*COUNTIFS(Engagements!$B$5:$B$106,$A28,Engagements!$D$5:$D$106,N$24,Engagements!$F$5:$F$106,'Weights &amp; Assumptions'!$A$8)/MAX(1,COUNTIFS(Engagements!$B$5:$B$106,$A28,Engagements!$F$5:$F$106,'Weights &amp; Assumptions'!$A$8))+'Weights &amp; Assumptions'!$B$9*COUNTIFS(Engagements!$B$5:$B$106,$A28,Engagements!$D$5:$D$106,N$24,Engagements!$F$5:$F$106,'Weights &amp; Assumptions'!$A$9)/MAX(1,COUNTIFS(Engagements!$B$5:$B$106,$A28,Engagements!$F$5:$F$106,'Weights &amp; Assumptions'!$A$9))+'Weights &amp; Assumptions'!$B$10*COUNTIFS(Engagements!$B$5:$B$106,$A28,Engagements!$D$5:$D$106,N$24,Engagements!$F$5:$F$106,'Weights &amp; Assumptions'!$A$10)/MAX(1,COUNTIFS(Engagements!$B$5:$B$106,$A28,Engagements!$F$5:$F$106,'Weights &amp; Assumptions'!$A$10))+'Weights &amp; Assumptions'!$B$11*COUNTIFS(Engagements!$B$5:$B$106,$A28,Engagements!$D$5:$D$106,N$24,Engagements!$F$5:$F$106,'Weights &amp; Assumptions'!$A$11)/MAX(1,COUNTIFS(Engagements!$B$5:$B$106,$A28,Engagements!$F$5:$F$106,'Weights &amp; Assumptions'!$A$11))+'Weights &amp; Assumptions'!$B$6*(COUNTIFS(Engagements!$B$5:$B$106,$A28,Engagements!$F$5:$F$106,"Acquisition")=0)*(VLOOKUP($A28,Customers!$A$5:$F$16,6,FALSE)=N$24)</f>
        <v/>
      </c>
      <c r="O28" s="76">
        <f>ROUND(SUM(C28:N28),1)</f>
        <v/>
      </c>
      <c r="P28" s="76">
        <f>ROUND('Weights &amp; Assumptions'!$B$12-O28,1)</f>
        <v/>
      </c>
    </row>
    <row r="29">
      <c r="A29" s="73">
        <f>Customers!A9</f>
        <v/>
      </c>
      <c r="B29" s="73">
        <f>Customers!B9</f>
        <v/>
      </c>
      <c r="C29" s="112">
        <f>'Weights &amp; Assumptions'!$B$6*COUNTIFS(Engagements!$B$5:$B$106,$A29,Engagements!$D$5:$D$106,C$24,Engagements!$F$5:$F$106,'Weights &amp; Assumptions'!$A$6)/MAX(1,COUNTIFS(Engagements!$B$5:$B$106,$A29,Engagements!$F$5:$F$106,'Weights &amp; Assumptions'!$A$6))+'Weights &amp; Assumptions'!$B$7*COUNTIFS(Engagements!$B$5:$B$106,$A29,Engagements!$D$5:$D$106,C$24,Engagements!$F$5:$F$106,'Weights &amp; Assumptions'!$A$7)/MAX(1,COUNTIFS(Engagements!$B$5:$B$106,$A29,Engagements!$F$5:$F$106,'Weights &amp; Assumptions'!$A$7))+'Weights &amp; Assumptions'!$B$8*COUNTIFS(Engagements!$B$5:$B$106,$A29,Engagements!$D$5:$D$106,C$24,Engagements!$F$5:$F$106,'Weights &amp; Assumptions'!$A$8)/MAX(1,COUNTIFS(Engagements!$B$5:$B$106,$A29,Engagements!$F$5:$F$106,'Weights &amp; Assumptions'!$A$8))+'Weights &amp; Assumptions'!$B$9*COUNTIFS(Engagements!$B$5:$B$106,$A29,Engagements!$D$5:$D$106,C$24,Engagements!$F$5:$F$106,'Weights &amp; Assumptions'!$A$9)/MAX(1,COUNTIFS(Engagements!$B$5:$B$106,$A29,Engagements!$F$5:$F$106,'Weights &amp; Assumptions'!$A$9))+'Weights &amp; Assumptions'!$B$10*COUNTIFS(Engagements!$B$5:$B$106,$A29,Engagements!$D$5:$D$106,C$24,Engagements!$F$5:$F$106,'Weights &amp; Assumptions'!$A$10)/MAX(1,COUNTIFS(Engagements!$B$5:$B$106,$A29,Engagements!$F$5:$F$106,'Weights &amp; Assumptions'!$A$10))+'Weights &amp; Assumptions'!$B$11*COUNTIFS(Engagements!$B$5:$B$106,$A29,Engagements!$D$5:$D$106,C$24,Engagements!$F$5:$F$106,'Weights &amp; Assumptions'!$A$11)/MAX(1,COUNTIFS(Engagements!$B$5:$B$106,$A29,Engagements!$F$5:$F$106,'Weights &amp; Assumptions'!$A$11))+'Weights &amp; Assumptions'!$B$6*(COUNTIFS(Engagements!$B$5:$B$106,$A29,Engagements!$F$5:$F$106,"Acquisition")=0)*(VLOOKUP($A29,Customers!$A$5:$F$16,6,FALSE)=C$24)</f>
        <v/>
      </c>
      <c r="D29" s="112">
        <f>'Weights &amp; Assumptions'!$B$6*COUNTIFS(Engagements!$B$5:$B$106,$A29,Engagements!$D$5:$D$106,D$24,Engagements!$F$5:$F$106,'Weights &amp; Assumptions'!$A$6)/MAX(1,COUNTIFS(Engagements!$B$5:$B$106,$A29,Engagements!$F$5:$F$106,'Weights &amp; Assumptions'!$A$6))+'Weights &amp; Assumptions'!$B$7*COUNTIFS(Engagements!$B$5:$B$106,$A29,Engagements!$D$5:$D$106,D$24,Engagements!$F$5:$F$106,'Weights &amp; Assumptions'!$A$7)/MAX(1,COUNTIFS(Engagements!$B$5:$B$106,$A29,Engagements!$F$5:$F$106,'Weights &amp; Assumptions'!$A$7))+'Weights &amp; Assumptions'!$B$8*COUNTIFS(Engagements!$B$5:$B$106,$A29,Engagements!$D$5:$D$106,D$24,Engagements!$F$5:$F$106,'Weights &amp; Assumptions'!$A$8)/MAX(1,COUNTIFS(Engagements!$B$5:$B$106,$A29,Engagements!$F$5:$F$106,'Weights &amp; Assumptions'!$A$8))+'Weights &amp; Assumptions'!$B$9*COUNTIFS(Engagements!$B$5:$B$106,$A29,Engagements!$D$5:$D$106,D$24,Engagements!$F$5:$F$106,'Weights &amp; Assumptions'!$A$9)/MAX(1,COUNTIFS(Engagements!$B$5:$B$106,$A29,Engagements!$F$5:$F$106,'Weights &amp; Assumptions'!$A$9))+'Weights &amp; Assumptions'!$B$10*COUNTIFS(Engagements!$B$5:$B$106,$A29,Engagements!$D$5:$D$106,D$24,Engagements!$F$5:$F$106,'Weights &amp; Assumptions'!$A$10)/MAX(1,COUNTIFS(Engagements!$B$5:$B$106,$A29,Engagements!$F$5:$F$106,'Weights &amp; Assumptions'!$A$10))+'Weights &amp; Assumptions'!$B$11*COUNTIFS(Engagements!$B$5:$B$106,$A29,Engagements!$D$5:$D$106,D$24,Engagements!$F$5:$F$106,'Weights &amp; Assumptions'!$A$11)/MAX(1,COUNTIFS(Engagements!$B$5:$B$106,$A29,Engagements!$F$5:$F$106,'Weights &amp; Assumptions'!$A$11))+'Weights &amp; Assumptions'!$B$6*(COUNTIFS(Engagements!$B$5:$B$106,$A29,Engagements!$F$5:$F$106,"Acquisition")=0)*(VLOOKUP($A29,Customers!$A$5:$F$16,6,FALSE)=D$24)</f>
        <v/>
      </c>
      <c r="E29" s="112">
        <f>'Weights &amp; Assumptions'!$B$6*COUNTIFS(Engagements!$B$5:$B$106,$A29,Engagements!$D$5:$D$106,E$24,Engagements!$F$5:$F$106,'Weights &amp; Assumptions'!$A$6)/MAX(1,COUNTIFS(Engagements!$B$5:$B$106,$A29,Engagements!$F$5:$F$106,'Weights &amp; Assumptions'!$A$6))+'Weights &amp; Assumptions'!$B$7*COUNTIFS(Engagements!$B$5:$B$106,$A29,Engagements!$D$5:$D$106,E$24,Engagements!$F$5:$F$106,'Weights &amp; Assumptions'!$A$7)/MAX(1,COUNTIFS(Engagements!$B$5:$B$106,$A29,Engagements!$F$5:$F$106,'Weights &amp; Assumptions'!$A$7))+'Weights &amp; Assumptions'!$B$8*COUNTIFS(Engagements!$B$5:$B$106,$A29,Engagements!$D$5:$D$106,E$24,Engagements!$F$5:$F$106,'Weights &amp; Assumptions'!$A$8)/MAX(1,COUNTIFS(Engagements!$B$5:$B$106,$A29,Engagements!$F$5:$F$106,'Weights &amp; Assumptions'!$A$8))+'Weights &amp; Assumptions'!$B$9*COUNTIFS(Engagements!$B$5:$B$106,$A29,Engagements!$D$5:$D$106,E$24,Engagements!$F$5:$F$106,'Weights &amp; Assumptions'!$A$9)/MAX(1,COUNTIFS(Engagements!$B$5:$B$106,$A29,Engagements!$F$5:$F$106,'Weights &amp; Assumptions'!$A$9))+'Weights &amp; Assumptions'!$B$10*COUNTIFS(Engagements!$B$5:$B$106,$A29,Engagements!$D$5:$D$106,E$24,Engagements!$F$5:$F$106,'Weights &amp; Assumptions'!$A$10)/MAX(1,COUNTIFS(Engagements!$B$5:$B$106,$A29,Engagements!$F$5:$F$106,'Weights &amp; Assumptions'!$A$10))+'Weights &amp; Assumptions'!$B$11*COUNTIFS(Engagements!$B$5:$B$106,$A29,Engagements!$D$5:$D$106,E$24,Engagements!$F$5:$F$106,'Weights &amp; Assumptions'!$A$11)/MAX(1,COUNTIFS(Engagements!$B$5:$B$106,$A29,Engagements!$F$5:$F$106,'Weights &amp; Assumptions'!$A$11))+'Weights &amp; Assumptions'!$B$6*(COUNTIFS(Engagements!$B$5:$B$106,$A29,Engagements!$F$5:$F$106,"Acquisition")=0)*(VLOOKUP($A29,Customers!$A$5:$F$16,6,FALSE)=E$24)</f>
        <v/>
      </c>
      <c r="F29" s="112">
        <f>'Weights &amp; Assumptions'!$B$6*COUNTIFS(Engagements!$B$5:$B$106,$A29,Engagements!$D$5:$D$106,F$24,Engagements!$F$5:$F$106,'Weights &amp; Assumptions'!$A$6)/MAX(1,COUNTIFS(Engagements!$B$5:$B$106,$A29,Engagements!$F$5:$F$106,'Weights &amp; Assumptions'!$A$6))+'Weights &amp; Assumptions'!$B$7*COUNTIFS(Engagements!$B$5:$B$106,$A29,Engagements!$D$5:$D$106,F$24,Engagements!$F$5:$F$106,'Weights &amp; Assumptions'!$A$7)/MAX(1,COUNTIFS(Engagements!$B$5:$B$106,$A29,Engagements!$F$5:$F$106,'Weights &amp; Assumptions'!$A$7))+'Weights &amp; Assumptions'!$B$8*COUNTIFS(Engagements!$B$5:$B$106,$A29,Engagements!$D$5:$D$106,F$24,Engagements!$F$5:$F$106,'Weights &amp; Assumptions'!$A$8)/MAX(1,COUNTIFS(Engagements!$B$5:$B$106,$A29,Engagements!$F$5:$F$106,'Weights &amp; Assumptions'!$A$8))+'Weights &amp; Assumptions'!$B$9*COUNTIFS(Engagements!$B$5:$B$106,$A29,Engagements!$D$5:$D$106,F$24,Engagements!$F$5:$F$106,'Weights &amp; Assumptions'!$A$9)/MAX(1,COUNTIFS(Engagements!$B$5:$B$106,$A29,Engagements!$F$5:$F$106,'Weights &amp; Assumptions'!$A$9))+'Weights &amp; Assumptions'!$B$10*COUNTIFS(Engagements!$B$5:$B$106,$A29,Engagements!$D$5:$D$106,F$24,Engagements!$F$5:$F$106,'Weights &amp; Assumptions'!$A$10)/MAX(1,COUNTIFS(Engagements!$B$5:$B$106,$A29,Engagements!$F$5:$F$106,'Weights &amp; Assumptions'!$A$10))+'Weights &amp; Assumptions'!$B$11*COUNTIFS(Engagements!$B$5:$B$106,$A29,Engagements!$D$5:$D$106,F$24,Engagements!$F$5:$F$106,'Weights &amp; Assumptions'!$A$11)/MAX(1,COUNTIFS(Engagements!$B$5:$B$106,$A29,Engagements!$F$5:$F$106,'Weights &amp; Assumptions'!$A$11))+'Weights &amp; Assumptions'!$B$6*(COUNTIFS(Engagements!$B$5:$B$106,$A29,Engagements!$F$5:$F$106,"Acquisition")=0)*(VLOOKUP($A29,Customers!$A$5:$F$16,6,FALSE)=F$24)</f>
        <v/>
      </c>
      <c r="G29" s="112">
        <f>'Weights &amp; Assumptions'!$B$6*COUNTIFS(Engagements!$B$5:$B$106,$A29,Engagements!$D$5:$D$106,G$24,Engagements!$F$5:$F$106,'Weights &amp; Assumptions'!$A$6)/MAX(1,COUNTIFS(Engagements!$B$5:$B$106,$A29,Engagements!$F$5:$F$106,'Weights &amp; Assumptions'!$A$6))+'Weights &amp; Assumptions'!$B$7*COUNTIFS(Engagements!$B$5:$B$106,$A29,Engagements!$D$5:$D$106,G$24,Engagements!$F$5:$F$106,'Weights &amp; Assumptions'!$A$7)/MAX(1,COUNTIFS(Engagements!$B$5:$B$106,$A29,Engagements!$F$5:$F$106,'Weights &amp; Assumptions'!$A$7))+'Weights &amp; Assumptions'!$B$8*COUNTIFS(Engagements!$B$5:$B$106,$A29,Engagements!$D$5:$D$106,G$24,Engagements!$F$5:$F$106,'Weights &amp; Assumptions'!$A$8)/MAX(1,COUNTIFS(Engagements!$B$5:$B$106,$A29,Engagements!$F$5:$F$106,'Weights &amp; Assumptions'!$A$8))+'Weights &amp; Assumptions'!$B$9*COUNTIFS(Engagements!$B$5:$B$106,$A29,Engagements!$D$5:$D$106,G$24,Engagements!$F$5:$F$106,'Weights &amp; Assumptions'!$A$9)/MAX(1,COUNTIFS(Engagements!$B$5:$B$106,$A29,Engagements!$F$5:$F$106,'Weights &amp; Assumptions'!$A$9))+'Weights &amp; Assumptions'!$B$10*COUNTIFS(Engagements!$B$5:$B$106,$A29,Engagements!$D$5:$D$106,G$24,Engagements!$F$5:$F$106,'Weights &amp; Assumptions'!$A$10)/MAX(1,COUNTIFS(Engagements!$B$5:$B$106,$A29,Engagements!$F$5:$F$106,'Weights &amp; Assumptions'!$A$10))+'Weights &amp; Assumptions'!$B$11*COUNTIFS(Engagements!$B$5:$B$106,$A29,Engagements!$D$5:$D$106,G$24,Engagements!$F$5:$F$106,'Weights &amp; Assumptions'!$A$11)/MAX(1,COUNTIFS(Engagements!$B$5:$B$106,$A29,Engagements!$F$5:$F$106,'Weights &amp; Assumptions'!$A$11))+'Weights &amp; Assumptions'!$B$6*(COUNTIFS(Engagements!$B$5:$B$106,$A29,Engagements!$F$5:$F$106,"Acquisition")=0)*(VLOOKUP($A29,Customers!$A$5:$F$16,6,FALSE)=G$24)</f>
        <v/>
      </c>
      <c r="H29" s="112">
        <f>'Weights &amp; Assumptions'!$B$6*COUNTIFS(Engagements!$B$5:$B$106,$A29,Engagements!$D$5:$D$106,H$24,Engagements!$F$5:$F$106,'Weights &amp; Assumptions'!$A$6)/MAX(1,COUNTIFS(Engagements!$B$5:$B$106,$A29,Engagements!$F$5:$F$106,'Weights &amp; Assumptions'!$A$6))+'Weights &amp; Assumptions'!$B$7*COUNTIFS(Engagements!$B$5:$B$106,$A29,Engagements!$D$5:$D$106,H$24,Engagements!$F$5:$F$106,'Weights &amp; Assumptions'!$A$7)/MAX(1,COUNTIFS(Engagements!$B$5:$B$106,$A29,Engagements!$F$5:$F$106,'Weights &amp; Assumptions'!$A$7))+'Weights &amp; Assumptions'!$B$8*COUNTIFS(Engagements!$B$5:$B$106,$A29,Engagements!$D$5:$D$106,H$24,Engagements!$F$5:$F$106,'Weights &amp; Assumptions'!$A$8)/MAX(1,COUNTIFS(Engagements!$B$5:$B$106,$A29,Engagements!$F$5:$F$106,'Weights &amp; Assumptions'!$A$8))+'Weights &amp; Assumptions'!$B$9*COUNTIFS(Engagements!$B$5:$B$106,$A29,Engagements!$D$5:$D$106,H$24,Engagements!$F$5:$F$106,'Weights &amp; Assumptions'!$A$9)/MAX(1,COUNTIFS(Engagements!$B$5:$B$106,$A29,Engagements!$F$5:$F$106,'Weights &amp; Assumptions'!$A$9))+'Weights &amp; Assumptions'!$B$10*COUNTIFS(Engagements!$B$5:$B$106,$A29,Engagements!$D$5:$D$106,H$24,Engagements!$F$5:$F$106,'Weights &amp; Assumptions'!$A$10)/MAX(1,COUNTIFS(Engagements!$B$5:$B$106,$A29,Engagements!$F$5:$F$106,'Weights &amp; Assumptions'!$A$10))+'Weights &amp; Assumptions'!$B$11*COUNTIFS(Engagements!$B$5:$B$106,$A29,Engagements!$D$5:$D$106,H$24,Engagements!$F$5:$F$106,'Weights &amp; Assumptions'!$A$11)/MAX(1,COUNTIFS(Engagements!$B$5:$B$106,$A29,Engagements!$F$5:$F$106,'Weights &amp; Assumptions'!$A$11))+'Weights &amp; Assumptions'!$B$6*(COUNTIFS(Engagements!$B$5:$B$106,$A29,Engagements!$F$5:$F$106,"Acquisition")=0)*(VLOOKUP($A29,Customers!$A$5:$F$16,6,FALSE)=H$24)</f>
        <v/>
      </c>
      <c r="I29" s="112">
        <f>'Weights &amp; Assumptions'!$B$6*COUNTIFS(Engagements!$B$5:$B$106,$A29,Engagements!$D$5:$D$106,I$24,Engagements!$F$5:$F$106,'Weights &amp; Assumptions'!$A$6)/MAX(1,COUNTIFS(Engagements!$B$5:$B$106,$A29,Engagements!$F$5:$F$106,'Weights &amp; Assumptions'!$A$6))+'Weights &amp; Assumptions'!$B$7*COUNTIFS(Engagements!$B$5:$B$106,$A29,Engagements!$D$5:$D$106,I$24,Engagements!$F$5:$F$106,'Weights &amp; Assumptions'!$A$7)/MAX(1,COUNTIFS(Engagements!$B$5:$B$106,$A29,Engagements!$F$5:$F$106,'Weights &amp; Assumptions'!$A$7))+'Weights &amp; Assumptions'!$B$8*COUNTIFS(Engagements!$B$5:$B$106,$A29,Engagements!$D$5:$D$106,I$24,Engagements!$F$5:$F$106,'Weights &amp; Assumptions'!$A$8)/MAX(1,COUNTIFS(Engagements!$B$5:$B$106,$A29,Engagements!$F$5:$F$106,'Weights &amp; Assumptions'!$A$8))+'Weights &amp; Assumptions'!$B$9*COUNTIFS(Engagements!$B$5:$B$106,$A29,Engagements!$D$5:$D$106,I$24,Engagements!$F$5:$F$106,'Weights &amp; Assumptions'!$A$9)/MAX(1,COUNTIFS(Engagements!$B$5:$B$106,$A29,Engagements!$F$5:$F$106,'Weights &amp; Assumptions'!$A$9))+'Weights &amp; Assumptions'!$B$10*COUNTIFS(Engagements!$B$5:$B$106,$A29,Engagements!$D$5:$D$106,I$24,Engagements!$F$5:$F$106,'Weights &amp; Assumptions'!$A$10)/MAX(1,COUNTIFS(Engagements!$B$5:$B$106,$A29,Engagements!$F$5:$F$106,'Weights &amp; Assumptions'!$A$10))+'Weights &amp; Assumptions'!$B$11*COUNTIFS(Engagements!$B$5:$B$106,$A29,Engagements!$D$5:$D$106,I$24,Engagements!$F$5:$F$106,'Weights &amp; Assumptions'!$A$11)/MAX(1,COUNTIFS(Engagements!$B$5:$B$106,$A29,Engagements!$F$5:$F$106,'Weights &amp; Assumptions'!$A$11))+'Weights &amp; Assumptions'!$B$6*(COUNTIFS(Engagements!$B$5:$B$106,$A29,Engagements!$F$5:$F$106,"Acquisition")=0)*(VLOOKUP($A29,Customers!$A$5:$F$16,6,FALSE)=I$24)</f>
        <v/>
      </c>
      <c r="J29" s="112">
        <f>'Weights &amp; Assumptions'!$B$6*COUNTIFS(Engagements!$B$5:$B$106,$A29,Engagements!$D$5:$D$106,J$24,Engagements!$F$5:$F$106,'Weights &amp; Assumptions'!$A$6)/MAX(1,COUNTIFS(Engagements!$B$5:$B$106,$A29,Engagements!$F$5:$F$106,'Weights &amp; Assumptions'!$A$6))+'Weights &amp; Assumptions'!$B$7*COUNTIFS(Engagements!$B$5:$B$106,$A29,Engagements!$D$5:$D$106,J$24,Engagements!$F$5:$F$106,'Weights &amp; Assumptions'!$A$7)/MAX(1,COUNTIFS(Engagements!$B$5:$B$106,$A29,Engagements!$F$5:$F$106,'Weights &amp; Assumptions'!$A$7))+'Weights &amp; Assumptions'!$B$8*COUNTIFS(Engagements!$B$5:$B$106,$A29,Engagements!$D$5:$D$106,J$24,Engagements!$F$5:$F$106,'Weights &amp; Assumptions'!$A$8)/MAX(1,COUNTIFS(Engagements!$B$5:$B$106,$A29,Engagements!$F$5:$F$106,'Weights &amp; Assumptions'!$A$8))+'Weights &amp; Assumptions'!$B$9*COUNTIFS(Engagements!$B$5:$B$106,$A29,Engagements!$D$5:$D$106,J$24,Engagements!$F$5:$F$106,'Weights &amp; Assumptions'!$A$9)/MAX(1,COUNTIFS(Engagements!$B$5:$B$106,$A29,Engagements!$F$5:$F$106,'Weights &amp; Assumptions'!$A$9))+'Weights &amp; Assumptions'!$B$10*COUNTIFS(Engagements!$B$5:$B$106,$A29,Engagements!$D$5:$D$106,J$24,Engagements!$F$5:$F$106,'Weights &amp; Assumptions'!$A$10)/MAX(1,COUNTIFS(Engagements!$B$5:$B$106,$A29,Engagements!$F$5:$F$106,'Weights &amp; Assumptions'!$A$10))+'Weights &amp; Assumptions'!$B$11*COUNTIFS(Engagements!$B$5:$B$106,$A29,Engagements!$D$5:$D$106,J$24,Engagements!$F$5:$F$106,'Weights &amp; Assumptions'!$A$11)/MAX(1,COUNTIFS(Engagements!$B$5:$B$106,$A29,Engagements!$F$5:$F$106,'Weights &amp; Assumptions'!$A$11))+'Weights &amp; Assumptions'!$B$6*(COUNTIFS(Engagements!$B$5:$B$106,$A29,Engagements!$F$5:$F$106,"Acquisition")=0)*(VLOOKUP($A29,Customers!$A$5:$F$16,6,FALSE)=J$24)</f>
        <v/>
      </c>
      <c r="K29" s="112">
        <f>'Weights &amp; Assumptions'!$B$6*COUNTIFS(Engagements!$B$5:$B$106,$A29,Engagements!$D$5:$D$106,K$24,Engagements!$F$5:$F$106,'Weights &amp; Assumptions'!$A$6)/MAX(1,COUNTIFS(Engagements!$B$5:$B$106,$A29,Engagements!$F$5:$F$106,'Weights &amp; Assumptions'!$A$6))+'Weights &amp; Assumptions'!$B$7*COUNTIFS(Engagements!$B$5:$B$106,$A29,Engagements!$D$5:$D$106,K$24,Engagements!$F$5:$F$106,'Weights &amp; Assumptions'!$A$7)/MAX(1,COUNTIFS(Engagements!$B$5:$B$106,$A29,Engagements!$F$5:$F$106,'Weights &amp; Assumptions'!$A$7))+'Weights &amp; Assumptions'!$B$8*COUNTIFS(Engagements!$B$5:$B$106,$A29,Engagements!$D$5:$D$106,K$24,Engagements!$F$5:$F$106,'Weights &amp; Assumptions'!$A$8)/MAX(1,COUNTIFS(Engagements!$B$5:$B$106,$A29,Engagements!$F$5:$F$106,'Weights &amp; Assumptions'!$A$8))+'Weights &amp; Assumptions'!$B$9*COUNTIFS(Engagements!$B$5:$B$106,$A29,Engagements!$D$5:$D$106,K$24,Engagements!$F$5:$F$106,'Weights &amp; Assumptions'!$A$9)/MAX(1,COUNTIFS(Engagements!$B$5:$B$106,$A29,Engagements!$F$5:$F$106,'Weights &amp; Assumptions'!$A$9))+'Weights &amp; Assumptions'!$B$10*COUNTIFS(Engagements!$B$5:$B$106,$A29,Engagements!$D$5:$D$106,K$24,Engagements!$F$5:$F$106,'Weights &amp; Assumptions'!$A$10)/MAX(1,COUNTIFS(Engagements!$B$5:$B$106,$A29,Engagements!$F$5:$F$106,'Weights &amp; Assumptions'!$A$10))+'Weights &amp; Assumptions'!$B$11*COUNTIFS(Engagements!$B$5:$B$106,$A29,Engagements!$D$5:$D$106,K$24,Engagements!$F$5:$F$106,'Weights &amp; Assumptions'!$A$11)/MAX(1,COUNTIFS(Engagements!$B$5:$B$106,$A29,Engagements!$F$5:$F$106,'Weights &amp; Assumptions'!$A$11))+'Weights &amp; Assumptions'!$B$6*(COUNTIFS(Engagements!$B$5:$B$106,$A29,Engagements!$F$5:$F$106,"Acquisition")=0)*(VLOOKUP($A29,Customers!$A$5:$F$16,6,FALSE)=K$24)</f>
        <v/>
      </c>
      <c r="L29" s="112">
        <f>'Weights &amp; Assumptions'!$B$6*COUNTIFS(Engagements!$B$5:$B$106,$A29,Engagements!$D$5:$D$106,L$24,Engagements!$F$5:$F$106,'Weights &amp; Assumptions'!$A$6)/MAX(1,COUNTIFS(Engagements!$B$5:$B$106,$A29,Engagements!$F$5:$F$106,'Weights &amp; Assumptions'!$A$6))+'Weights &amp; Assumptions'!$B$7*COUNTIFS(Engagements!$B$5:$B$106,$A29,Engagements!$D$5:$D$106,L$24,Engagements!$F$5:$F$106,'Weights &amp; Assumptions'!$A$7)/MAX(1,COUNTIFS(Engagements!$B$5:$B$106,$A29,Engagements!$F$5:$F$106,'Weights &amp; Assumptions'!$A$7))+'Weights &amp; Assumptions'!$B$8*COUNTIFS(Engagements!$B$5:$B$106,$A29,Engagements!$D$5:$D$106,L$24,Engagements!$F$5:$F$106,'Weights &amp; Assumptions'!$A$8)/MAX(1,COUNTIFS(Engagements!$B$5:$B$106,$A29,Engagements!$F$5:$F$106,'Weights &amp; Assumptions'!$A$8))+'Weights &amp; Assumptions'!$B$9*COUNTIFS(Engagements!$B$5:$B$106,$A29,Engagements!$D$5:$D$106,L$24,Engagements!$F$5:$F$106,'Weights &amp; Assumptions'!$A$9)/MAX(1,COUNTIFS(Engagements!$B$5:$B$106,$A29,Engagements!$F$5:$F$106,'Weights &amp; Assumptions'!$A$9))+'Weights &amp; Assumptions'!$B$10*COUNTIFS(Engagements!$B$5:$B$106,$A29,Engagements!$D$5:$D$106,L$24,Engagements!$F$5:$F$106,'Weights &amp; Assumptions'!$A$10)/MAX(1,COUNTIFS(Engagements!$B$5:$B$106,$A29,Engagements!$F$5:$F$106,'Weights &amp; Assumptions'!$A$10))+'Weights &amp; Assumptions'!$B$11*COUNTIFS(Engagements!$B$5:$B$106,$A29,Engagements!$D$5:$D$106,L$24,Engagements!$F$5:$F$106,'Weights &amp; Assumptions'!$A$11)/MAX(1,COUNTIFS(Engagements!$B$5:$B$106,$A29,Engagements!$F$5:$F$106,'Weights &amp; Assumptions'!$A$11))+'Weights &amp; Assumptions'!$B$6*(COUNTIFS(Engagements!$B$5:$B$106,$A29,Engagements!$F$5:$F$106,"Acquisition")=0)*(VLOOKUP($A29,Customers!$A$5:$F$16,6,FALSE)=L$24)</f>
        <v/>
      </c>
      <c r="M29" s="112">
        <f>'Weights &amp; Assumptions'!$B$6*COUNTIFS(Engagements!$B$5:$B$106,$A29,Engagements!$D$5:$D$106,M$24,Engagements!$F$5:$F$106,'Weights &amp; Assumptions'!$A$6)/MAX(1,COUNTIFS(Engagements!$B$5:$B$106,$A29,Engagements!$F$5:$F$106,'Weights &amp; Assumptions'!$A$6))+'Weights &amp; Assumptions'!$B$7*COUNTIFS(Engagements!$B$5:$B$106,$A29,Engagements!$D$5:$D$106,M$24,Engagements!$F$5:$F$106,'Weights &amp; Assumptions'!$A$7)/MAX(1,COUNTIFS(Engagements!$B$5:$B$106,$A29,Engagements!$F$5:$F$106,'Weights &amp; Assumptions'!$A$7))+'Weights &amp; Assumptions'!$B$8*COUNTIFS(Engagements!$B$5:$B$106,$A29,Engagements!$D$5:$D$106,M$24,Engagements!$F$5:$F$106,'Weights &amp; Assumptions'!$A$8)/MAX(1,COUNTIFS(Engagements!$B$5:$B$106,$A29,Engagements!$F$5:$F$106,'Weights &amp; Assumptions'!$A$8))+'Weights &amp; Assumptions'!$B$9*COUNTIFS(Engagements!$B$5:$B$106,$A29,Engagements!$D$5:$D$106,M$24,Engagements!$F$5:$F$106,'Weights &amp; Assumptions'!$A$9)/MAX(1,COUNTIFS(Engagements!$B$5:$B$106,$A29,Engagements!$F$5:$F$106,'Weights &amp; Assumptions'!$A$9))+'Weights &amp; Assumptions'!$B$10*COUNTIFS(Engagements!$B$5:$B$106,$A29,Engagements!$D$5:$D$106,M$24,Engagements!$F$5:$F$106,'Weights &amp; Assumptions'!$A$10)/MAX(1,COUNTIFS(Engagements!$B$5:$B$106,$A29,Engagements!$F$5:$F$106,'Weights &amp; Assumptions'!$A$10))+'Weights &amp; Assumptions'!$B$11*COUNTIFS(Engagements!$B$5:$B$106,$A29,Engagements!$D$5:$D$106,M$24,Engagements!$F$5:$F$106,'Weights &amp; Assumptions'!$A$11)/MAX(1,COUNTIFS(Engagements!$B$5:$B$106,$A29,Engagements!$F$5:$F$106,'Weights &amp; Assumptions'!$A$11))+'Weights &amp; Assumptions'!$B$6*(COUNTIFS(Engagements!$B$5:$B$106,$A29,Engagements!$F$5:$F$106,"Acquisition")=0)*(VLOOKUP($A29,Customers!$A$5:$F$16,6,FALSE)=M$24)</f>
        <v/>
      </c>
      <c r="N29" s="112">
        <f>'Weights &amp; Assumptions'!$B$6*COUNTIFS(Engagements!$B$5:$B$106,$A29,Engagements!$D$5:$D$106,N$24,Engagements!$F$5:$F$106,'Weights &amp; Assumptions'!$A$6)/MAX(1,COUNTIFS(Engagements!$B$5:$B$106,$A29,Engagements!$F$5:$F$106,'Weights &amp; Assumptions'!$A$6))+'Weights &amp; Assumptions'!$B$7*COUNTIFS(Engagements!$B$5:$B$106,$A29,Engagements!$D$5:$D$106,N$24,Engagements!$F$5:$F$106,'Weights &amp; Assumptions'!$A$7)/MAX(1,COUNTIFS(Engagements!$B$5:$B$106,$A29,Engagements!$F$5:$F$106,'Weights &amp; Assumptions'!$A$7))+'Weights &amp; Assumptions'!$B$8*COUNTIFS(Engagements!$B$5:$B$106,$A29,Engagements!$D$5:$D$106,N$24,Engagements!$F$5:$F$106,'Weights &amp; Assumptions'!$A$8)/MAX(1,COUNTIFS(Engagements!$B$5:$B$106,$A29,Engagements!$F$5:$F$106,'Weights &amp; Assumptions'!$A$8))+'Weights &amp; Assumptions'!$B$9*COUNTIFS(Engagements!$B$5:$B$106,$A29,Engagements!$D$5:$D$106,N$24,Engagements!$F$5:$F$106,'Weights &amp; Assumptions'!$A$9)/MAX(1,COUNTIFS(Engagements!$B$5:$B$106,$A29,Engagements!$F$5:$F$106,'Weights &amp; Assumptions'!$A$9))+'Weights &amp; Assumptions'!$B$10*COUNTIFS(Engagements!$B$5:$B$106,$A29,Engagements!$D$5:$D$106,N$24,Engagements!$F$5:$F$106,'Weights &amp; Assumptions'!$A$10)/MAX(1,COUNTIFS(Engagements!$B$5:$B$106,$A29,Engagements!$F$5:$F$106,'Weights &amp; Assumptions'!$A$10))+'Weights &amp; Assumptions'!$B$11*COUNTIFS(Engagements!$B$5:$B$106,$A29,Engagements!$D$5:$D$106,N$24,Engagements!$F$5:$F$106,'Weights &amp; Assumptions'!$A$11)/MAX(1,COUNTIFS(Engagements!$B$5:$B$106,$A29,Engagements!$F$5:$F$106,'Weights &amp; Assumptions'!$A$11))+'Weights &amp; Assumptions'!$B$6*(COUNTIFS(Engagements!$B$5:$B$106,$A29,Engagements!$F$5:$F$106,"Acquisition")=0)*(VLOOKUP($A29,Customers!$A$5:$F$16,6,FALSE)=N$24)</f>
        <v/>
      </c>
      <c r="O29" s="76">
        <f>ROUND(SUM(C29:N29),1)</f>
        <v/>
      </c>
      <c r="P29" s="76">
        <f>ROUND('Weights &amp; Assumptions'!$B$12-O29,1)</f>
        <v/>
      </c>
    </row>
    <row r="30">
      <c r="A30" s="73">
        <f>Customers!A10</f>
        <v/>
      </c>
      <c r="B30" s="73">
        <f>Customers!B10</f>
        <v/>
      </c>
      <c r="C30" s="112">
        <f>'Weights &amp; Assumptions'!$B$6*COUNTIFS(Engagements!$B$5:$B$106,$A30,Engagements!$D$5:$D$106,C$24,Engagements!$F$5:$F$106,'Weights &amp; Assumptions'!$A$6)/MAX(1,COUNTIFS(Engagements!$B$5:$B$106,$A30,Engagements!$F$5:$F$106,'Weights &amp; Assumptions'!$A$6))+'Weights &amp; Assumptions'!$B$7*COUNTIFS(Engagements!$B$5:$B$106,$A30,Engagements!$D$5:$D$106,C$24,Engagements!$F$5:$F$106,'Weights &amp; Assumptions'!$A$7)/MAX(1,COUNTIFS(Engagements!$B$5:$B$106,$A30,Engagements!$F$5:$F$106,'Weights &amp; Assumptions'!$A$7))+'Weights &amp; Assumptions'!$B$8*COUNTIFS(Engagements!$B$5:$B$106,$A30,Engagements!$D$5:$D$106,C$24,Engagements!$F$5:$F$106,'Weights &amp; Assumptions'!$A$8)/MAX(1,COUNTIFS(Engagements!$B$5:$B$106,$A30,Engagements!$F$5:$F$106,'Weights &amp; Assumptions'!$A$8))+'Weights &amp; Assumptions'!$B$9*COUNTIFS(Engagements!$B$5:$B$106,$A30,Engagements!$D$5:$D$106,C$24,Engagements!$F$5:$F$106,'Weights &amp; Assumptions'!$A$9)/MAX(1,COUNTIFS(Engagements!$B$5:$B$106,$A30,Engagements!$F$5:$F$106,'Weights &amp; Assumptions'!$A$9))+'Weights &amp; Assumptions'!$B$10*COUNTIFS(Engagements!$B$5:$B$106,$A30,Engagements!$D$5:$D$106,C$24,Engagements!$F$5:$F$106,'Weights &amp; Assumptions'!$A$10)/MAX(1,COUNTIFS(Engagements!$B$5:$B$106,$A30,Engagements!$F$5:$F$106,'Weights &amp; Assumptions'!$A$10))+'Weights &amp; Assumptions'!$B$11*COUNTIFS(Engagements!$B$5:$B$106,$A30,Engagements!$D$5:$D$106,C$24,Engagements!$F$5:$F$106,'Weights &amp; Assumptions'!$A$11)/MAX(1,COUNTIFS(Engagements!$B$5:$B$106,$A30,Engagements!$F$5:$F$106,'Weights &amp; Assumptions'!$A$11))+'Weights &amp; Assumptions'!$B$6*(COUNTIFS(Engagements!$B$5:$B$106,$A30,Engagements!$F$5:$F$106,"Acquisition")=0)*(VLOOKUP($A30,Customers!$A$5:$F$16,6,FALSE)=C$24)</f>
        <v/>
      </c>
      <c r="D30" s="112">
        <f>'Weights &amp; Assumptions'!$B$6*COUNTIFS(Engagements!$B$5:$B$106,$A30,Engagements!$D$5:$D$106,D$24,Engagements!$F$5:$F$106,'Weights &amp; Assumptions'!$A$6)/MAX(1,COUNTIFS(Engagements!$B$5:$B$106,$A30,Engagements!$F$5:$F$106,'Weights &amp; Assumptions'!$A$6))+'Weights &amp; Assumptions'!$B$7*COUNTIFS(Engagements!$B$5:$B$106,$A30,Engagements!$D$5:$D$106,D$24,Engagements!$F$5:$F$106,'Weights &amp; Assumptions'!$A$7)/MAX(1,COUNTIFS(Engagements!$B$5:$B$106,$A30,Engagements!$F$5:$F$106,'Weights &amp; Assumptions'!$A$7))+'Weights &amp; Assumptions'!$B$8*COUNTIFS(Engagements!$B$5:$B$106,$A30,Engagements!$D$5:$D$106,D$24,Engagements!$F$5:$F$106,'Weights &amp; Assumptions'!$A$8)/MAX(1,COUNTIFS(Engagements!$B$5:$B$106,$A30,Engagements!$F$5:$F$106,'Weights &amp; Assumptions'!$A$8))+'Weights &amp; Assumptions'!$B$9*COUNTIFS(Engagements!$B$5:$B$106,$A30,Engagements!$D$5:$D$106,D$24,Engagements!$F$5:$F$106,'Weights &amp; Assumptions'!$A$9)/MAX(1,COUNTIFS(Engagements!$B$5:$B$106,$A30,Engagements!$F$5:$F$106,'Weights &amp; Assumptions'!$A$9))+'Weights &amp; Assumptions'!$B$10*COUNTIFS(Engagements!$B$5:$B$106,$A30,Engagements!$D$5:$D$106,D$24,Engagements!$F$5:$F$106,'Weights &amp; Assumptions'!$A$10)/MAX(1,COUNTIFS(Engagements!$B$5:$B$106,$A30,Engagements!$F$5:$F$106,'Weights &amp; Assumptions'!$A$10))+'Weights &amp; Assumptions'!$B$11*COUNTIFS(Engagements!$B$5:$B$106,$A30,Engagements!$D$5:$D$106,D$24,Engagements!$F$5:$F$106,'Weights &amp; Assumptions'!$A$11)/MAX(1,COUNTIFS(Engagements!$B$5:$B$106,$A30,Engagements!$F$5:$F$106,'Weights &amp; Assumptions'!$A$11))+'Weights &amp; Assumptions'!$B$6*(COUNTIFS(Engagements!$B$5:$B$106,$A30,Engagements!$F$5:$F$106,"Acquisition")=0)*(VLOOKUP($A30,Customers!$A$5:$F$16,6,FALSE)=D$24)</f>
        <v/>
      </c>
      <c r="E30" s="112">
        <f>'Weights &amp; Assumptions'!$B$6*COUNTIFS(Engagements!$B$5:$B$106,$A30,Engagements!$D$5:$D$106,E$24,Engagements!$F$5:$F$106,'Weights &amp; Assumptions'!$A$6)/MAX(1,COUNTIFS(Engagements!$B$5:$B$106,$A30,Engagements!$F$5:$F$106,'Weights &amp; Assumptions'!$A$6))+'Weights &amp; Assumptions'!$B$7*COUNTIFS(Engagements!$B$5:$B$106,$A30,Engagements!$D$5:$D$106,E$24,Engagements!$F$5:$F$106,'Weights &amp; Assumptions'!$A$7)/MAX(1,COUNTIFS(Engagements!$B$5:$B$106,$A30,Engagements!$F$5:$F$106,'Weights &amp; Assumptions'!$A$7))+'Weights &amp; Assumptions'!$B$8*COUNTIFS(Engagements!$B$5:$B$106,$A30,Engagements!$D$5:$D$106,E$24,Engagements!$F$5:$F$106,'Weights &amp; Assumptions'!$A$8)/MAX(1,COUNTIFS(Engagements!$B$5:$B$106,$A30,Engagements!$F$5:$F$106,'Weights &amp; Assumptions'!$A$8))+'Weights &amp; Assumptions'!$B$9*COUNTIFS(Engagements!$B$5:$B$106,$A30,Engagements!$D$5:$D$106,E$24,Engagements!$F$5:$F$106,'Weights &amp; Assumptions'!$A$9)/MAX(1,COUNTIFS(Engagements!$B$5:$B$106,$A30,Engagements!$F$5:$F$106,'Weights &amp; Assumptions'!$A$9))+'Weights &amp; Assumptions'!$B$10*COUNTIFS(Engagements!$B$5:$B$106,$A30,Engagements!$D$5:$D$106,E$24,Engagements!$F$5:$F$106,'Weights &amp; Assumptions'!$A$10)/MAX(1,COUNTIFS(Engagements!$B$5:$B$106,$A30,Engagements!$F$5:$F$106,'Weights &amp; Assumptions'!$A$10))+'Weights &amp; Assumptions'!$B$11*COUNTIFS(Engagements!$B$5:$B$106,$A30,Engagements!$D$5:$D$106,E$24,Engagements!$F$5:$F$106,'Weights &amp; Assumptions'!$A$11)/MAX(1,COUNTIFS(Engagements!$B$5:$B$106,$A30,Engagements!$F$5:$F$106,'Weights &amp; Assumptions'!$A$11))+'Weights &amp; Assumptions'!$B$6*(COUNTIFS(Engagements!$B$5:$B$106,$A30,Engagements!$F$5:$F$106,"Acquisition")=0)*(VLOOKUP($A30,Customers!$A$5:$F$16,6,FALSE)=E$24)</f>
        <v/>
      </c>
      <c r="F30" s="112">
        <f>'Weights &amp; Assumptions'!$B$6*COUNTIFS(Engagements!$B$5:$B$106,$A30,Engagements!$D$5:$D$106,F$24,Engagements!$F$5:$F$106,'Weights &amp; Assumptions'!$A$6)/MAX(1,COUNTIFS(Engagements!$B$5:$B$106,$A30,Engagements!$F$5:$F$106,'Weights &amp; Assumptions'!$A$6))+'Weights &amp; Assumptions'!$B$7*COUNTIFS(Engagements!$B$5:$B$106,$A30,Engagements!$D$5:$D$106,F$24,Engagements!$F$5:$F$106,'Weights &amp; Assumptions'!$A$7)/MAX(1,COUNTIFS(Engagements!$B$5:$B$106,$A30,Engagements!$F$5:$F$106,'Weights &amp; Assumptions'!$A$7))+'Weights &amp; Assumptions'!$B$8*COUNTIFS(Engagements!$B$5:$B$106,$A30,Engagements!$D$5:$D$106,F$24,Engagements!$F$5:$F$106,'Weights &amp; Assumptions'!$A$8)/MAX(1,COUNTIFS(Engagements!$B$5:$B$106,$A30,Engagements!$F$5:$F$106,'Weights &amp; Assumptions'!$A$8))+'Weights &amp; Assumptions'!$B$9*COUNTIFS(Engagements!$B$5:$B$106,$A30,Engagements!$D$5:$D$106,F$24,Engagements!$F$5:$F$106,'Weights &amp; Assumptions'!$A$9)/MAX(1,COUNTIFS(Engagements!$B$5:$B$106,$A30,Engagements!$F$5:$F$106,'Weights &amp; Assumptions'!$A$9))+'Weights &amp; Assumptions'!$B$10*COUNTIFS(Engagements!$B$5:$B$106,$A30,Engagements!$D$5:$D$106,F$24,Engagements!$F$5:$F$106,'Weights &amp; Assumptions'!$A$10)/MAX(1,COUNTIFS(Engagements!$B$5:$B$106,$A30,Engagements!$F$5:$F$106,'Weights &amp; Assumptions'!$A$10))+'Weights &amp; Assumptions'!$B$11*COUNTIFS(Engagements!$B$5:$B$106,$A30,Engagements!$D$5:$D$106,F$24,Engagements!$F$5:$F$106,'Weights &amp; Assumptions'!$A$11)/MAX(1,COUNTIFS(Engagements!$B$5:$B$106,$A30,Engagements!$F$5:$F$106,'Weights &amp; Assumptions'!$A$11))+'Weights &amp; Assumptions'!$B$6*(COUNTIFS(Engagements!$B$5:$B$106,$A30,Engagements!$F$5:$F$106,"Acquisition")=0)*(VLOOKUP($A30,Customers!$A$5:$F$16,6,FALSE)=F$24)</f>
        <v/>
      </c>
      <c r="G30" s="112">
        <f>'Weights &amp; Assumptions'!$B$6*COUNTIFS(Engagements!$B$5:$B$106,$A30,Engagements!$D$5:$D$106,G$24,Engagements!$F$5:$F$106,'Weights &amp; Assumptions'!$A$6)/MAX(1,COUNTIFS(Engagements!$B$5:$B$106,$A30,Engagements!$F$5:$F$106,'Weights &amp; Assumptions'!$A$6))+'Weights &amp; Assumptions'!$B$7*COUNTIFS(Engagements!$B$5:$B$106,$A30,Engagements!$D$5:$D$106,G$24,Engagements!$F$5:$F$106,'Weights &amp; Assumptions'!$A$7)/MAX(1,COUNTIFS(Engagements!$B$5:$B$106,$A30,Engagements!$F$5:$F$106,'Weights &amp; Assumptions'!$A$7))+'Weights &amp; Assumptions'!$B$8*COUNTIFS(Engagements!$B$5:$B$106,$A30,Engagements!$D$5:$D$106,G$24,Engagements!$F$5:$F$106,'Weights &amp; Assumptions'!$A$8)/MAX(1,COUNTIFS(Engagements!$B$5:$B$106,$A30,Engagements!$F$5:$F$106,'Weights &amp; Assumptions'!$A$8))+'Weights &amp; Assumptions'!$B$9*COUNTIFS(Engagements!$B$5:$B$106,$A30,Engagements!$D$5:$D$106,G$24,Engagements!$F$5:$F$106,'Weights &amp; Assumptions'!$A$9)/MAX(1,COUNTIFS(Engagements!$B$5:$B$106,$A30,Engagements!$F$5:$F$106,'Weights &amp; Assumptions'!$A$9))+'Weights &amp; Assumptions'!$B$10*COUNTIFS(Engagements!$B$5:$B$106,$A30,Engagements!$D$5:$D$106,G$24,Engagements!$F$5:$F$106,'Weights &amp; Assumptions'!$A$10)/MAX(1,COUNTIFS(Engagements!$B$5:$B$106,$A30,Engagements!$F$5:$F$106,'Weights &amp; Assumptions'!$A$10))+'Weights &amp; Assumptions'!$B$11*COUNTIFS(Engagements!$B$5:$B$106,$A30,Engagements!$D$5:$D$106,G$24,Engagements!$F$5:$F$106,'Weights &amp; Assumptions'!$A$11)/MAX(1,COUNTIFS(Engagements!$B$5:$B$106,$A30,Engagements!$F$5:$F$106,'Weights &amp; Assumptions'!$A$11))+'Weights &amp; Assumptions'!$B$6*(COUNTIFS(Engagements!$B$5:$B$106,$A30,Engagements!$F$5:$F$106,"Acquisition")=0)*(VLOOKUP($A30,Customers!$A$5:$F$16,6,FALSE)=G$24)</f>
        <v/>
      </c>
      <c r="H30" s="112">
        <f>'Weights &amp; Assumptions'!$B$6*COUNTIFS(Engagements!$B$5:$B$106,$A30,Engagements!$D$5:$D$106,H$24,Engagements!$F$5:$F$106,'Weights &amp; Assumptions'!$A$6)/MAX(1,COUNTIFS(Engagements!$B$5:$B$106,$A30,Engagements!$F$5:$F$106,'Weights &amp; Assumptions'!$A$6))+'Weights &amp; Assumptions'!$B$7*COUNTIFS(Engagements!$B$5:$B$106,$A30,Engagements!$D$5:$D$106,H$24,Engagements!$F$5:$F$106,'Weights &amp; Assumptions'!$A$7)/MAX(1,COUNTIFS(Engagements!$B$5:$B$106,$A30,Engagements!$F$5:$F$106,'Weights &amp; Assumptions'!$A$7))+'Weights &amp; Assumptions'!$B$8*COUNTIFS(Engagements!$B$5:$B$106,$A30,Engagements!$D$5:$D$106,H$24,Engagements!$F$5:$F$106,'Weights &amp; Assumptions'!$A$8)/MAX(1,COUNTIFS(Engagements!$B$5:$B$106,$A30,Engagements!$F$5:$F$106,'Weights &amp; Assumptions'!$A$8))+'Weights &amp; Assumptions'!$B$9*COUNTIFS(Engagements!$B$5:$B$106,$A30,Engagements!$D$5:$D$106,H$24,Engagements!$F$5:$F$106,'Weights &amp; Assumptions'!$A$9)/MAX(1,COUNTIFS(Engagements!$B$5:$B$106,$A30,Engagements!$F$5:$F$106,'Weights &amp; Assumptions'!$A$9))+'Weights &amp; Assumptions'!$B$10*COUNTIFS(Engagements!$B$5:$B$106,$A30,Engagements!$D$5:$D$106,H$24,Engagements!$F$5:$F$106,'Weights &amp; Assumptions'!$A$10)/MAX(1,COUNTIFS(Engagements!$B$5:$B$106,$A30,Engagements!$F$5:$F$106,'Weights &amp; Assumptions'!$A$10))+'Weights &amp; Assumptions'!$B$11*COUNTIFS(Engagements!$B$5:$B$106,$A30,Engagements!$D$5:$D$106,H$24,Engagements!$F$5:$F$106,'Weights &amp; Assumptions'!$A$11)/MAX(1,COUNTIFS(Engagements!$B$5:$B$106,$A30,Engagements!$F$5:$F$106,'Weights &amp; Assumptions'!$A$11))+'Weights &amp; Assumptions'!$B$6*(COUNTIFS(Engagements!$B$5:$B$106,$A30,Engagements!$F$5:$F$106,"Acquisition")=0)*(VLOOKUP($A30,Customers!$A$5:$F$16,6,FALSE)=H$24)</f>
        <v/>
      </c>
      <c r="I30" s="112">
        <f>'Weights &amp; Assumptions'!$B$6*COUNTIFS(Engagements!$B$5:$B$106,$A30,Engagements!$D$5:$D$106,I$24,Engagements!$F$5:$F$106,'Weights &amp; Assumptions'!$A$6)/MAX(1,COUNTIFS(Engagements!$B$5:$B$106,$A30,Engagements!$F$5:$F$106,'Weights &amp; Assumptions'!$A$6))+'Weights &amp; Assumptions'!$B$7*COUNTIFS(Engagements!$B$5:$B$106,$A30,Engagements!$D$5:$D$106,I$24,Engagements!$F$5:$F$106,'Weights &amp; Assumptions'!$A$7)/MAX(1,COUNTIFS(Engagements!$B$5:$B$106,$A30,Engagements!$F$5:$F$106,'Weights &amp; Assumptions'!$A$7))+'Weights &amp; Assumptions'!$B$8*COUNTIFS(Engagements!$B$5:$B$106,$A30,Engagements!$D$5:$D$106,I$24,Engagements!$F$5:$F$106,'Weights &amp; Assumptions'!$A$8)/MAX(1,COUNTIFS(Engagements!$B$5:$B$106,$A30,Engagements!$F$5:$F$106,'Weights &amp; Assumptions'!$A$8))+'Weights &amp; Assumptions'!$B$9*COUNTIFS(Engagements!$B$5:$B$106,$A30,Engagements!$D$5:$D$106,I$24,Engagements!$F$5:$F$106,'Weights &amp; Assumptions'!$A$9)/MAX(1,COUNTIFS(Engagements!$B$5:$B$106,$A30,Engagements!$F$5:$F$106,'Weights &amp; Assumptions'!$A$9))+'Weights &amp; Assumptions'!$B$10*COUNTIFS(Engagements!$B$5:$B$106,$A30,Engagements!$D$5:$D$106,I$24,Engagements!$F$5:$F$106,'Weights &amp; Assumptions'!$A$10)/MAX(1,COUNTIFS(Engagements!$B$5:$B$106,$A30,Engagements!$F$5:$F$106,'Weights &amp; Assumptions'!$A$10))+'Weights &amp; Assumptions'!$B$11*COUNTIFS(Engagements!$B$5:$B$106,$A30,Engagements!$D$5:$D$106,I$24,Engagements!$F$5:$F$106,'Weights &amp; Assumptions'!$A$11)/MAX(1,COUNTIFS(Engagements!$B$5:$B$106,$A30,Engagements!$F$5:$F$106,'Weights &amp; Assumptions'!$A$11))+'Weights &amp; Assumptions'!$B$6*(COUNTIFS(Engagements!$B$5:$B$106,$A30,Engagements!$F$5:$F$106,"Acquisition")=0)*(VLOOKUP($A30,Customers!$A$5:$F$16,6,FALSE)=I$24)</f>
        <v/>
      </c>
      <c r="J30" s="112">
        <f>'Weights &amp; Assumptions'!$B$6*COUNTIFS(Engagements!$B$5:$B$106,$A30,Engagements!$D$5:$D$106,J$24,Engagements!$F$5:$F$106,'Weights &amp; Assumptions'!$A$6)/MAX(1,COUNTIFS(Engagements!$B$5:$B$106,$A30,Engagements!$F$5:$F$106,'Weights &amp; Assumptions'!$A$6))+'Weights &amp; Assumptions'!$B$7*COUNTIFS(Engagements!$B$5:$B$106,$A30,Engagements!$D$5:$D$106,J$24,Engagements!$F$5:$F$106,'Weights &amp; Assumptions'!$A$7)/MAX(1,COUNTIFS(Engagements!$B$5:$B$106,$A30,Engagements!$F$5:$F$106,'Weights &amp; Assumptions'!$A$7))+'Weights &amp; Assumptions'!$B$8*COUNTIFS(Engagements!$B$5:$B$106,$A30,Engagements!$D$5:$D$106,J$24,Engagements!$F$5:$F$106,'Weights &amp; Assumptions'!$A$8)/MAX(1,COUNTIFS(Engagements!$B$5:$B$106,$A30,Engagements!$F$5:$F$106,'Weights &amp; Assumptions'!$A$8))+'Weights &amp; Assumptions'!$B$9*COUNTIFS(Engagements!$B$5:$B$106,$A30,Engagements!$D$5:$D$106,J$24,Engagements!$F$5:$F$106,'Weights &amp; Assumptions'!$A$9)/MAX(1,COUNTIFS(Engagements!$B$5:$B$106,$A30,Engagements!$F$5:$F$106,'Weights &amp; Assumptions'!$A$9))+'Weights &amp; Assumptions'!$B$10*COUNTIFS(Engagements!$B$5:$B$106,$A30,Engagements!$D$5:$D$106,J$24,Engagements!$F$5:$F$106,'Weights &amp; Assumptions'!$A$10)/MAX(1,COUNTIFS(Engagements!$B$5:$B$106,$A30,Engagements!$F$5:$F$106,'Weights &amp; Assumptions'!$A$10))+'Weights &amp; Assumptions'!$B$11*COUNTIFS(Engagements!$B$5:$B$106,$A30,Engagements!$D$5:$D$106,J$24,Engagements!$F$5:$F$106,'Weights &amp; Assumptions'!$A$11)/MAX(1,COUNTIFS(Engagements!$B$5:$B$106,$A30,Engagements!$F$5:$F$106,'Weights &amp; Assumptions'!$A$11))+'Weights &amp; Assumptions'!$B$6*(COUNTIFS(Engagements!$B$5:$B$106,$A30,Engagements!$F$5:$F$106,"Acquisition")=0)*(VLOOKUP($A30,Customers!$A$5:$F$16,6,FALSE)=J$24)</f>
        <v/>
      </c>
      <c r="K30" s="112">
        <f>'Weights &amp; Assumptions'!$B$6*COUNTIFS(Engagements!$B$5:$B$106,$A30,Engagements!$D$5:$D$106,K$24,Engagements!$F$5:$F$106,'Weights &amp; Assumptions'!$A$6)/MAX(1,COUNTIFS(Engagements!$B$5:$B$106,$A30,Engagements!$F$5:$F$106,'Weights &amp; Assumptions'!$A$6))+'Weights &amp; Assumptions'!$B$7*COUNTIFS(Engagements!$B$5:$B$106,$A30,Engagements!$D$5:$D$106,K$24,Engagements!$F$5:$F$106,'Weights &amp; Assumptions'!$A$7)/MAX(1,COUNTIFS(Engagements!$B$5:$B$106,$A30,Engagements!$F$5:$F$106,'Weights &amp; Assumptions'!$A$7))+'Weights &amp; Assumptions'!$B$8*COUNTIFS(Engagements!$B$5:$B$106,$A30,Engagements!$D$5:$D$106,K$24,Engagements!$F$5:$F$106,'Weights &amp; Assumptions'!$A$8)/MAX(1,COUNTIFS(Engagements!$B$5:$B$106,$A30,Engagements!$F$5:$F$106,'Weights &amp; Assumptions'!$A$8))+'Weights &amp; Assumptions'!$B$9*COUNTIFS(Engagements!$B$5:$B$106,$A30,Engagements!$D$5:$D$106,K$24,Engagements!$F$5:$F$106,'Weights &amp; Assumptions'!$A$9)/MAX(1,COUNTIFS(Engagements!$B$5:$B$106,$A30,Engagements!$F$5:$F$106,'Weights &amp; Assumptions'!$A$9))+'Weights &amp; Assumptions'!$B$10*COUNTIFS(Engagements!$B$5:$B$106,$A30,Engagements!$D$5:$D$106,K$24,Engagements!$F$5:$F$106,'Weights &amp; Assumptions'!$A$10)/MAX(1,COUNTIFS(Engagements!$B$5:$B$106,$A30,Engagements!$F$5:$F$106,'Weights &amp; Assumptions'!$A$10))+'Weights &amp; Assumptions'!$B$11*COUNTIFS(Engagements!$B$5:$B$106,$A30,Engagements!$D$5:$D$106,K$24,Engagements!$F$5:$F$106,'Weights &amp; Assumptions'!$A$11)/MAX(1,COUNTIFS(Engagements!$B$5:$B$106,$A30,Engagements!$F$5:$F$106,'Weights &amp; Assumptions'!$A$11))+'Weights &amp; Assumptions'!$B$6*(COUNTIFS(Engagements!$B$5:$B$106,$A30,Engagements!$F$5:$F$106,"Acquisition")=0)*(VLOOKUP($A30,Customers!$A$5:$F$16,6,FALSE)=K$24)</f>
        <v/>
      </c>
      <c r="L30" s="112">
        <f>'Weights &amp; Assumptions'!$B$6*COUNTIFS(Engagements!$B$5:$B$106,$A30,Engagements!$D$5:$D$106,L$24,Engagements!$F$5:$F$106,'Weights &amp; Assumptions'!$A$6)/MAX(1,COUNTIFS(Engagements!$B$5:$B$106,$A30,Engagements!$F$5:$F$106,'Weights &amp; Assumptions'!$A$6))+'Weights &amp; Assumptions'!$B$7*COUNTIFS(Engagements!$B$5:$B$106,$A30,Engagements!$D$5:$D$106,L$24,Engagements!$F$5:$F$106,'Weights &amp; Assumptions'!$A$7)/MAX(1,COUNTIFS(Engagements!$B$5:$B$106,$A30,Engagements!$F$5:$F$106,'Weights &amp; Assumptions'!$A$7))+'Weights &amp; Assumptions'!$B$8*COUNTIFS(Engagements!$B$5:$B$106,$A30,Engagements!$D$5:$D$106,L$24,Engagements!$F$5:$F$106,'Weights &amp; Assumptions'!$A$8)/MAX(1,COUNTIFS(Engagements!$B$5:$B$106,$A30,Engagements!$F$5:$F$106,'Weights &amp; Assumptions'!$A$8))+'Weights &amp; Assumptions'!$B$9*COUNTIFS(Engagements!$B$5:$B$106,$A30,Engagements!$D$5:$D$106,L$24,Engagements!$F$5:$F$106,'Weights &amp; Assumptions'!$A$9)/MAX(1,COUNTIFS(Engagements!$B$5:$B$106,$A30,Engagements!$F$5:$F$106,'Weights &amp; Assumptions'!$A$9))+'Weights &amp; Assumptions'!$B$10*COUNTIFS(Engagements!$B$5:$B$106,$A30,Engagements!$D$5:$D$106,L$24,Engagements!$F$5:$F$106,'Weights &amp; Assumptions'!$A$10)/MAX(1,COUNTIFS(Engagements!$B$5:$B$106,$A30,Engagements!$F$5:$F$106,'Weights &amp; Assumptions'!$A$10))+'Weights &amp; Assumptions'!$B$11*COUNTIFS(Engagements!$B$5:$B$106,$A30,Engagements!$D$5:$D$106,L$24,Engagements!$F$5:$F$106,'Weights &amp; Assumptions'!$A$11)/MAX(1,COUNTIFS(Engagements!$B$5:$B$106,$A30,Engagements!$F$5:$F$106,'Weights &amp; Assumptions'!$A$11))+'Weights &amp; Assumptions'!$B$6*(COUNTIFS(Engagements!$B$5:$B$106,$A30,Engagements!$F$5:$F$106,"Acquisition")=0)*(VLOOKUP($A30,Customers!$A$5:$F$16,6,FALSE)=L$24)</f>
        <v/>
      </c>
      <c r="M30" s="112">
        <f>'Weights &amp; Assumptions'!$B$6*COUNTIFS(Engagements!$B$5:$B$106,$A30,Engagements!$D$5:$D$106,M$24,Engagements!$F$5:$F$106,'Weights &amp; Assumptions'!$A$6)/MAX(1,COUNTIFS(Engagements!$B$5:$B$106,$A30,Engagements!$F$5:$F$106,'Weights &amp; Assumptions'!$A$6))+'Weights &amp; Assumptions'!$B$7*COUNTIFS(Engagements!$B$5:$B$106,$A30,Engagements!$D$5:$D$106,M$24,Engagements!$F$5:$F$106,'Weights &amp; Assumptions'!$A$7)/MAX(1,COUNTIFS(Engagements!$B$5:$B$106,$A30,Engagements!$F$5:$F$106,'Weights &amp; Assumptions'!$A$7))+'Weights &amp; Assumptions'!$B$8*COUNTIFS(Engagements!$B$5:$B$106,$A30,Engagements!$D$5:$D$106,M$24,Engagements!$F$5:$F$106,'Weights &amp; Assumptions'!$A$8)/MAX(1,COUNTIFS(Engagements!$B$5:$B$106,$A30,Engagements!$F$5:$F$106,'Weights &amp; Assumptions'!$A$8))+'Weights &amp; Assumptions'!$B$9*COUNTIFS(Engagements!$B$5:$B$106,$A30,Engagements!$D$5:$D$106,M$24,Engagements!$F$5:$F$106,'Weights &amp; Assumptions'!$A$9)/MAX(1,COUNTIFS(Engagements!$B$5:$B$106,$A30,Engagements!$F$5:$F$106,'Weights &amp; Assumptions'!$A$9))+'Weights &amp; Assumptions'!$B$10*COUNTIFS(Engagements!$B$5:$B$106,$A30,Engagements!$D$5:$D$106,M$24,Engagements!$F$5:$F$106,'Weights &amp; Assumptions'!$A$10)/MAX(1,COUNTIFS(Engagements!$B$5:$B$106,$A30,Engagements!$F$5:$F$106,'Weights &amp; Assumptions'!$A$10))+'Weights &amp; Assumptions'!$B$11*COUNTIFS(Engagements!$B$5:$B$106,$A30,Engagements!$D$5:$D$106,M$24,Engagements!$F$5:$F$106,'Weights &amp; Assumptions'!$A$11)/MAX(1,COUNTIFS(Engagements!$B$5:$B$106,$A30,Engagements!$F$5:$F$106,'Weights &amp; Assumptions'!$A$11))+'Weights &amp; Assumptions'!$B$6*(COUNTIFS(Engagements!$B$5:$B$106,$A30,Engagements!$F$5:$F$106,"Acquisition")=0)*(VLOOKUP($A30,Customers!$A$5:$F$16,6,FALSE)=M$24)</f>
        <v/>
      </c>
      <c r="N30" s="112">
        <f>'Weights &amp; Assumptions'!$B$6*COUNTIFS(Engagements!$B$5:$B$106,$A30,Engagements!$D$5:$D$106,N$24,Engagements!$F$5:$F$106,'Weights &amp; Assumptions'!$A$6)/MAX(1,COUNTIFS(Engagements!$B$5:$B$106,$A30,Engagements!$F$5:$F$106,'Weights &amp; Assumptions'!$A$6))+'Weights &amp; Assumptions'!$B$7*COUNTIFS(Engagements!$B$5:$B$106,$A30,Engagements!$D$5:$D$106,N$24,Engagements!$F$5:$F$106,'Weights &amp; Assumptions'!$A$7)/MAX(1,COUNTIFS(Engagements!$B$5:$B$106,$A30,Engagements!$F$5:$F$106,'Weights &amp; Assumptions'!$A$7))+'Weights &amp; Assumptions'!$B$8*COUNTIFS(Engagements!$B$5:$B$106,$A30,Engagements!$D$5:$D$106,N$24,Engagements!$F$5:$F$106,'Weights &amp; Assumptions'!$A$8)/MAX(1,COUNTIFS(Engagements!$B$5:$B$106,$A30,Engagements!$F$5:$F$106,'Weights &amp; Assumptions'!$A$8))+'Weights &amp; Assumptions'!$B$9*COUNTIFS(Engagements!$B$5:$B$106,$A30,Engagements!$D$5:$D$106,N$24,Engagements!$F$5:$F$106,'Weights &amp; Assumptions'!$A$9)/MAX(1,COUNTIFS(Engagements!$B$5:$B$106,$A30,Engagements!$F$5:$F$106,'Weights &amp; Assumptions'!$A$9))+'Weights &amp; Assumptions'!$B$10*COUNTIFS(Engagements!$B$5:$B$106,$A30,Engagements!$D$5:$D$106,N$24,Engagements!$F$5:$F$106,'Weights &amp; Assumptions'!$A$10)/MAX(1,COUNTIFS(Engagements!$B$5:$B$106,$A30,Engagements!$F$5:$F$106,'Weights &amp; Assumptions'!$A$10))+'Weights &amp; Assumptions'!$B$11*COUNTIFS(Engagements!$B$5:$B$106,$A30,Engagements!$D$5:$D$106,N$24,Engagements!$F$5:$F$106,'Weights &amp; Assumptions'!$A$11)/MAX(1,COUNTIFS(Engagements!$B$5:$B$106,$A30,Engagements!$F$5:$F$106,'Weights &amp; Assumptions'!$A$11))+'Weights &amp; Assumptions'!$B$6*(COUNTIFS(Engagements!$B$5:$B$106,$A30,Engagements!$F$5:$F$106,"Acquisition")=0)*(VLOOKUP($A30,Customers!$A$5:$F$16,6,FALSE)=N$24)</f>
        <v/>
      </c>
      <c r="O30" s="76">
        <f>ROUND(SUM(C30:N30),1)</f>
        <v/>
      </c>
      <c r="P30" s="76">
        <f>ROUND('Weights &amp; Assumptions'!$B$12-O30,1)</f>
        <v/>
      </c>
    </row>
    <row r="31">
      <c r="A31" s="73">
        <f>Customers!A11</f>
        <v/>
      </c>
      <c r="B31" s="73">
        <f>Customers!B11</f>
        <v/>
      </c>
      <c r="C31" s="112">
        <f>'Weights &amp; Assumptions'!$B$6*COUNTIFS(Engagements!$B$5:$B$106,$A31,Engagements!$D$5:$D$106,C$24,Engagements!$F$5:$F$106,'Weights &amp; Assumptions'!$A$6)/MAX(1,COUNTIFS(Engagements!$B$5:$B$106,$A31,Engagements!$F$5:$F$106,'Weights &amp; Assumptions'!$A$6))+'Weights &amp; Assumptions'!$B$7*COUNTIFS(Engagements!$B$5:$B$106,$A31,Engagements!$D$5:$D$106,C$24,Engagements!$F$5:$F$106,'Weights &amp; Assumptions'!$A$7)/MAX(1,COUNTIFS(Engagements!$B$5:$B$106,$A31,Engagements!$F$5:$F$106,'Weights &amp; Assumptions'!$A$7))+'Weights &amp; Assumptions'!$B$8*COUNTIFS(Engagements!$B$5:$B$106,$A31,Engagements!$D$5:$D$106,C$24,Engagements!$F$5:$F$106,'Weights &amp; Assumptions'!$A$8)/MAX(1,COUNTIFS(Engagements!$B$5:$B$106,$A31,Engagements!$F$5:$F$106,'Weights &amp; Assumptions'!$A$8))+'Weights &amp; Assumptions'!$B$9*COUNTIFS(Engagements!$B$5:$B$106,$A31,Engagements!$D$5:$D$106,C$24,Engagements!$F$5:$F$106,'Weights &amp; Assumptions'!$A$9)/MAX(1,COUNTIFS(Engagements!$B$5:$B$106,$A31,Engagements!$F$5:$F$106,'Weights &amp; Assumptions'!$A$9))+'Weights &amp; Assumptions'!$B$10*COUNTIFS(Engagements!$B$5:$B$106,$A31,Engagements!$D$5:$D$106,C$24,Engagements!$F$5:$F$106,'Weights &amp; Assumptions'!$A$10)/MAX(1,COUNTIFS(Engagements!$B$5:$B$106,$A31,Engagements!$F$5:$F$106,'Weights &amp; Assumptions'!$A$10))+'Weights &amp; Assumptions'!$B$11*COUNTIFS(Engagements!$B$5:$B$106,$A31,Engagements!$D$5:$D$106,C$24,Engagements!$F$5:$F$106,'Weights &amp; Assumptions'!$A$11)/MAX(1,COUNTIFS(Engagements!$B$5:$B$106,$A31,Engagements!$F$5:$F$106,'Weights &amp; Assumptions'!$A$11))+'Weights &amp; Assumptions'!$B$6*(COUNTIFS(Engagements!$B$5:$B$106,$A31,Engagements!$F$5:$F$106,"Acquisition")=0)*(VLOOKUP($A31,Customers!$A$5:$F$16,6,FALSE)=C$24)</f>
        <v/>
      </c>
      <c r="D31" s="112">
        <f>'Weights &amp; Assumptions'!$B$6*COUNTIFS(Engagements!$B$5:$B$106,$A31,Engagements!$D$5:$D$106,D$24,Engagements!$F$5:$F$106,'Weights &amp; Assumptions'!$A$6)/MAX(1,COUNTIFS(Engagements!$B$5:$B$106,$A31,Engagements!$F$5:$F$106,'Weights &amp; Assumptions'!$A$6))+'Weights &amp; Assumptions'!$B$7*COUNTIFS(Engagements!$B$5:$B$106,$A31,Engagements!$D$5:$D$106,D$24,Engagements!$F$5:$F$106,'Weights &amp; Assumptions'!$A$7)/MAX(1,COUNTIFS(Engagements!$B$5:$B$106,$A31,Engagements!$F$5:$F$106,'Weights &amp; Assumptions'!$A$7))+'Weights &amp; Assumptions'!$B$8*COUNTIFS(Engagements!$B$5:$B$106,$A31,Engagements!$D$5:$D$106,D$24,Engagements!$F$5:$F$106,'Weights &amp; Assumptions'!$A$8)/MAX(1,COUNTIFS(Engagements!$B$5:$B$106,$A31,Engagements!$F$5:$F$106,'Weights &amp; Assumptions'!$A$8))+'Weights &amp; Assumptions'!$B$9*COUNTIFS(Engagements!$B$5:$B$106,$A31,Engagements!$D$5:$D$106,D$24,Engagements!$F$5:$F$106,'Weights &amp; Assumptions'!$A$9)/MAX(1,COUNTIFS(Engagements!$B$5:$B$106,$A31,Engagements!$F$5:$F$106,'Weights &amp; Assumptions'!$A$9))+'Weights &amp; Assumptions'!$B$10*COUNTIFS(Engagements!$B$5:$B$106,$A31,Engagements!$D$5:$D$106,D$24,Engagements!$F$5:$F$106,'Weights &amp; Assumptions'!$A$10)/MAX(1,COUNTIFS(Engagements!$B$5:$B$106,$A31,Engagements!$F$5:$F$106,'Weights &amp; Assumptions'!$A$10))+'Weights &amp; Assumptions'!$B$11*COUNTIFS(Engagements!$B$5:$B$106,$A31,Engagements!$D$5:$D$106,D$24,Engagements!$F$5:$F$106,'Weights &amp; Assumptions'!$A$11)/MAX(1,COUNTIFS(Engagements!$B$5:$B$106,$A31,Engagements!$F$5:$F$106,'Weights &amp; Assumptions'!$A$11))+'Weights &amp; Assumptions'!$B$6*(COUNTIFS(Engagements!$B$5:$B$106,$A31,Engagements!$F$5:$F$106,"Acquisition")=0)*(VLOOKUP($A31,Customers!$A$5:$F$16,6,FALSE)=D$24)</f>
        <v/>
      </c>
      <c r="E31" s="112">
        <f>'Weights &amp; Assumptions'!$B$6*COUNTIFS(Engagements!$B$5:$B$106,$A31,Engagements!$D$5:$D$106,E$24,Engagements!$F$5:$F$106,'Weights &amp; Assumptions'!$A$6)/MAX(1,COUNTIFS(Engagements!$B$5:$B$106,$A31,Engagements!$F$5:$F$106,'Weights &amp; Assumptions'!$A$6))+'Weights &amp; Assumptions'!$B$7*COUNTIFS(Engagements!$B$5:$B$106,$A31,Engagements!$D$5:$D$106,E$24,Engagements!$F$5:$F$106,'Weights &amp; Assumptions'!$A$7)/MAX(1,COUNTIFS(Engagements!$B$5:$B$106,$A31,Engagements!$F$5:$F$106,'Weights &amp; Assumptions'!$A$7))+'Weights &amp; Assumptions'!$B$8*COUNTIFS(Engagements!$B$5:$B$106,$A31,Engagements!$D$5:$D$106,E$24,Engagements!$F$5:$F$106,'Weights &amp; Assumptions'!$A$8)/MAX(1,COUNTIFS(Engagements!$B$5:$B$106,$A31,Engagements!$F$5:$F$106,'Weights &amp; Assumptions'!$A$8))+'Weights &amp; Assumptions'!$B$9*COUNTIFS(Engagements!$B$5:$B$106,$A31,Engagements!$D$5:$D$106,E$24,Engagements!$F$5:$F$106,'Weights &amp; Assumptions'!$A$9)/MAX(1,COUNTIFS(Engagements!$B$5:$B$106,$A31,Engagements!$F$5:$F$106,'Weights &amp; Assumptions'!$A$9))+'Weights &amp; Assumptions'!$B$10*COUNTIFS(Engagements!$B$5:$B$106,$A31,Engagements!$D$5:$D$106,E$24,Engagements!$F$5:$F$106,'Weights &amp; Assumptions'!$A$10)/MAX(1,COUNTIFS(Engagements!$B$5:$B$106,$A31,Engagements!$F$5:$F$106,'Weights &amp; Assumptions'!$A$10))+'Weights &amp; Assumptions'!$B$11*COUNTIFS(Engagements!$B$5:$B$106,$A31,Engagements!$D$5:$D$106,E$24,Engagements!$F$5:$F$106,'Weights &amp; Assumptions'!$A$11)/MAX(1,COUNTIFS(Engagements!$B$5:$B$106,$A31,Engagements!$F$5:$F$106,'Weights &amp; Assumptions'!$A$11))+'Weights &amp; Assumptions'!$B$6*(COUNTIFS(Engagements!$B$5:$B$106,$A31,Engagements!$F$5:$F$106,"Acquisition")=0)*(VLOOKUP($A31,Customers!$A$5:$F$16,6,FALSE)=E$24)</f>
        <v/>
      </c>
      <c r="F31" s="112">
        <f>'Weights &amp; Assumptions'!$B$6*COUNTIFS(Engagements!$B$5:$B$106,$A31,Engagements!$D$5:$D$106,F$24,Engagements!$F$5:$F$106,'Weights &amp; Assumptions'!$A$6)/MAX(1,COUNTIFS(Engagements!$B$5:$B$106,$A31,Engagements!$F$5:$F$106,'Weights &amp; Assumptions'!$A$6))+'Weights &amp; Assumptions'!$B$7*COUNTIFS(Engagements!$B$5:$B$106,$A31,Engagements!$D$5:$D$106,F$24,Engagements!$F$5:$F$106,'Weights &amp; Assumptions'!$A$7)/MAX(1,COUNTIFS(Engagements!$B$5:$B$106,$A31,Engagements!$F$5:$F$106,'Weights &amp; Assumptions'!$A$7))+'Weights &amp; Assumptions'!$B$8*COUNTIFS(Engagements!$B$5:$B$106,$A31,Engagements!$D$5:$D$106,F$24,Engagements!$F$5:$F$106,'Weights &amp; Assumptions'!$A$8)/MAX(1,COUNTIFS(Engagements!$B$5:$B$106,$A31,Engagements!$F$5:$F$106,'Weights &amp; Assumptions'!$A$8))+'Weights &amp; Assumptions'!$B$9*COUNTIFS(Engagements!$B$5:$B$106,$A31,Engagements!$D$5:$D$106,F$24,Engagements!$F$5:$F$106,'Weights &amp; Assumptions'!$A$9)/MAX(1,COUNTIFS(Engagements!$B$5:$B$106,$A31,Engagements!$F$5:$F$106,'Weights &amp; Assumptions'!$A$9))+'Weights &amp; Assumptions'!$B$10*COUNTIFS(Engagements!$B$5:$B$106,$A31,Engagements!$D$5:$D$106,F$24,Engagements!$F$5:$F$106,'Weights &amp; Assumptions'!$A$10)/MAX(1,COUNTIFS(Engagements!$B$5:$B$106,$A31,Engagements!$F$5:$F$106,'Weights &amp; Assumptions'!$A$10))+'Weights &amp; Assumptions'!$B$11*COUNTIFS(Engagements!$B$5:$B$106,$A31,Engagements!$D$5:$D$106,F$24,Engagements!$F$5:$F$106,'Weights &amp; Assumptions'!$A$11)/MAX(1,COUNTIFS(Engagements!$B$5:$B$106,$A31,Engagements!$F$5:$F$106,'Weights &amp; Assumptions'!$A$11))+'Weights &amp; Assumptions'!$B$6*(COUNTIFS(Engagements!$B$5:$B$106,$A31,Engagements!$F$5:$F$106,"Acquisition")=0)*(VLOOKUP($A31,Customers!$A$5:$F$16,6,FALSE)=F$24)</f>
        <v/>
      </c>
      <c r="G31" s="112">
        <f>'Weights &amp; Assumptions'!$B$6*COUNTIFS(Engagements!$B$5:$B$106,$A31,Engagements!$D$5:$D$106,G$24,Engagements!$F$5:$F$106,'Weights &amp; Assumptions'!$A$6)/MAX(1,COUNTIFS(Engagements!$B$5:$B$106,$A31,Engagements!$F$5:$F$106,'Weights &amp; Assumptions'!$A$6))+'Weights &amp; Assumptions'!$B$7*COUNTIFS(Engagements!$B$5:$B$106,$A31,Engagements!$D$5:$D$106,G$24,Engagements!$F$5:$F$106,'Weights &amp; Assumptions'!$A$7)/MAX(1,COUNTIFS(Engagements!$B$5:$B$106,$A31,Engagements!$F$5:$F$106,'Weights &amp; Assumptions'!$A$7))+'Weights &amp; Assumptions'!$B$8*COUNTIFS(Engagements!$B$5:$B$106,$A31,Engagements!$D$5:$D$106,G$24,Engagements!$F$5:$F$106,'Weights &amp; Assumptions'!$A$8)/MAX(1,COUNTIFS(Engagements!$B$5:$B$106,$A31,Engagements!$F$5:$F$106,'Weights &amp; Assumptions'!$A$8))+'Weights &amp; Assumptions'!$B$9*COUNTIFS(Engagements!$B$5:$B$106,$A31,Engagements!$D$5:$D$106,G$24,Engagements!$F$5:$F$106,'Weights &amp; Assumptions'!$A$9)/MAX(1,COUNTIFS(Engagements!$B$5:$B$106,$A31,Engagements!$F$5:$F$106,'Weights &amp; Assumptions'!$A$9))+'Weights &amp; Assumptions'!$B$10*COUNTIFS(Engagements!$B$5:$B$106,$A31,Engagements!$D$5:$D$106,G$24,Engagements!$F$5:$F$106,'Weights &amp; Assumptions'!$A$10)/MAX(1,COUNTIFS(Engagements!$B$5:$B$106,$A31,Engagements!$F$5:$F$106,'Weights &amp; Assumptions'!$A$10))+'Weights &amp; Assumptions'!$B$11*COUNTIFS(Engagements!$B$5:$B$106,$A31,Engagements!$D$5:$D$106,G$24,Engagements!$F$5:$F$106,'Weights &amp; Assumptions'!$A$11)/MAX(1,COUNTIFS(Engagements!$B$5:$B$106,$A31,Engagements!$F$5:$F$106,'Weights &amp; Assumptions'!$A$11))+'Weights &amp; Assumptions'!$B$6*(COUNTIFS(Engagements!$B$5:$B$106,$A31,Engagements!$F$5:$F$106,"Acquisition")=0)*(VLOOKUP($A31,Customers!$A$5:$F$16,6,FALSE)=G$24)</f>
        <v/>
      </c>
      <c r="H31" s="112">
        <f>'Weights &amp; Assumptions'!$B$6*COUNTIFS(Engagements!$B$5:$B$106,$A31,Engagements!$D$5:$D$106,H$24,Engagements!$F$5:$F$106,'Weights &amp; Assumptions'!$A$6)/MAX(1,COUNTIFS(Engagements!$B$5:$B$106,$A31,Engagements!$F$5:$F$106,'Weights &amp; Assumptions'!$A$6))+'Weights &amp; Assumptions'!$B$7*COUNTIFS(Engagements!$B$5:$B$106,$A31,Engagements!$D$5:$D$106,H$24,Engagements!$F$5:$F$106,'Weights &amp; Assumptions'!$A$7)/MAX(1,COUNTIFS(Engagements!$B$5:$B$106,$A31,Engagements!$F$5:$F$106,'Weights &amp; Assumptions'!$A$7))+'Weights &amp; Assumptions'!$B$8*COUNTIFS(Engagements!$B$5:$B$106,$A31,Engagements!$D$5:$D$106,H$24,Engagements!$F$5:$F$106,'Weights &amp; Assumptions'!$A$8)/MAX(1,COUNTIFS(Engagements!$B$5:$B$106,$A31,Engagements!$F$5:$F$106,'Weights &amp; Assumptions'!$A$8))+'Weights &amp; Assumptions'!$B$9*COUNTIFS(Engagements!$B$5:$B$106,$A31,Engagements!$D$5:$D$106,H$24,Engagements!$F$5:$F$106,'Weights &amp; Assumptions'!$A$9)/MAX(1,COUNTIFS(Engagements!$B$5:$B$106,$A31,Engagements!$F$5:$F$106,'Weights &amp; Assumptions'!$A$9))+'Weights &amp; Assumptions'!$B$10*COUNTIFS(Engagements!$B$5:$B$106,$A31,Engagements!$D$5:$D$106,H$24,Engagements!$F$5:$F$106,'Weights &amp; Assumptions'!$A$10)/MAX(1,COUNTIFS(Engagements!$B$5:$B$106,$A31,Engagements!$F$5:$F$106,'Weights &amp; Assumptions'!$A$10))+'Weights &amp; Assumptions'!$B$11*COUNTIFS(Engagements!$B$5:$B$106,$A31,Engagements!$D$5:$D$106,H$24,Engagements!$F$5:$F$106,'Weights &amp; Assumptions'!$A$11)/MAX(1,COUNTIFS(Engagements!$B$5:$B$106,$A31,Engagements!$F$5:$F$106,'Weights &amp; Assumptions'!$A$11))+'Weights &amp; Assumptions'!$B$6*(COUNTIFS(Engagements!$B$5:$B$106,$A31,Engagements!$F$5:$F$106,"Acquisition")=0)*(VLOOKUP($A31,Customers!$A$5:$F$16,6,FALSE)=H$24)</f>
        <v/>
      </c>
      <c r="I31" s="112">
        <f>'Weights &amp; Assumptions'!$B$6*COUNTIFS(Engagements!$B$5:$B$106,$A31,Engagements!$D$5:$D$106,I$24,Engagements!$F$5:$F$106,'Weights &amp; Assumptions'!$A$6)/MAX(1,COUNTIFS(Engagements!$B$5:$B$106,$A31,Engagements!$F$5:$F$106,'Weights &amp; Assumptions'!$A$6))+'Weights &amp; Assumptions'!$B$7*COUNTIFS(Engagements!$B$5:$B$106,$A31,Engagements!$D$5:$D$106,I$24,Engagements!$F$5:$F$106,'Weights &amp; Assumptions'!$A$7)/MAX(1,COUNTIFS(Engagements!$B$5:$B$106,$A31,Engagements!$F$5:$F$106,'Weights &amp; Assumptions'!$A$7))+'Weights &amp; Assumptions'!$B$8*COUNTIFS(Engagements!$B$5:$B$106,$A31,Engagements!$D$5:$D$106,I$24,Engagements!$F$5:$F$106,'Weights &amp; Assumptions'!$A$8)/MAX(1,COUNTIFS(Engagements!$B$5:$B$106,$A31,Engagements!$F$5:$F$106,'Weights &amp; Assumptions'!$A$8))+'Weights &amp; Assumptions'!$B$9*COUNTIFS(Engagements!$B$5:$B$106,$A31,Engagements!$D$5:$D$106,I$24,Engagements!$F$5:$F$106,'Weights &amp; Assumptions'!$A$9)/MAX(1,COUNTIFS(Engagements!$B$5:$B$106,$A31,Engagements!$F$5:$F$106,'Weights &amp; Assumptions'!$A$9))+'Weights &amp; Assumptions'!$B$10*COUNTIFS(Engagements!$B$5:$B$106,$A31,Engagements!$D$5:$D$106,I$24,Engagements!$F$5:$F$106,'Weights &amp; Assumptions'!$A$10)/MAX(1,COUNTIFS(Engagements!$B$5:$B$106,$A31,Engagements!$F$5:$F$106,'Weights &amp; Assumptions'!$A$10))+'Weights &amp; Assumptions'!$B$11*COUNTIFS(Engagements!$B$5:$B$106,$A31,Engagements!$D$5:$D$106,I$24,Engagements!$F$5:$F$106,'Weights &amp; Assumptions'!$A$11)/MAX(1,COUNTIFS(Engagements!$B$5:$B$106,$A31,Engagements!$F$5:$F$106,'Weights &amp; Assumptions'!$A$11))+'Weights &amp; Assumptions'!$B$6*(COUNTIFS(Engagements!$B$5:$B$106,$A31,Engagements!$F$5:$F$106,"Acquisition")=0)*(VLOOKUP($A31,Customers!$A$5:$F$16,6,FALSE)=I$24)</f>
        <v/>
      </c>
      <c r="J31" s="112">
        <f>'Weights &amp; Assumptions'!$B$6*COUNTIFS(Engagements!$B$5:$B$106,$A31,Engagements!$D$5:$D$106,J$24,Engagements!$F$5:$F$106,'Weights &amp; Assumptions'!$A$6)/MAX(1,COUNTIFS(Engagements!$B$5:$B$106,$A31,Engagements!$F$5:$F$106,'Weights &amp; Assumptions'!$A$6))+'Weights &amp; Assumptions'!$B$7*COUNTIFS(Engagements!$B$5:$B$106,$A31,Engagements!$D$5:$D$106,J$24,Engagements!$F$5:$F$106,'Weights &amp; Assumptions'!$A$7)/MAX(1,COUNTIFS(Engagements!$B$5:$B$106,$A31,Engagements!$F$5:$F$106,'Weights &amp; Assumptions'!$A$7))+'Weights &amp; Assumptions'!$B$8*COUNTIFS(Engagements!$B$5:$B$106,$A31,Engagements!$D$5:$D$106,J$24,Engagements!$F$5:$F$106,'Weights &amp; Assumptions'!$A$8)/MAX(1,COUNTIFS(Engagements!$B$5:$B$106,$A31,Engagements!$F$5:$F$106,'Weights &amp; Assumptions'!$A$8))+'Weights &amp; Assumptions'!$B$9*COUNTIFS(Engagements!$B$5:$B$106,$A31,Engagements!$D$5:$D$106,J$24,Engagements!$F$5:$F$106,'Weights &amp; Assumptions'!$A$9)/MAX(1,COUNTIFS(Engagements!$B$5:$B$106,$A31,Engagements!$F$5:$F$106,'Weights &amp; Assumptions'!$A$9))+'Weights &amp; Assumptions'!$B$10*COUNTIFS(Engagements!$B$5:$B$106,$A31,Engagements!$D$5:$D$106,J$24,Engagements!$F$5:$F$106,'Weights &amp; Assumptions'!$A$10)/MAX(1,COUNTIFS(Engagements!$B$5:$B$106,$A31,Engagements!$F$5:$F$106,'Weights &amp; Assumptions'!$A$10))+'Weights &amp; Assumptions'!$B$11*COUNTIFS(Engagements!$B$5:$B$106,$A31,Engagements!$D$5:$D$106,J$24,Engagements!$F$5:$F$106,'Weights &amp; Assumptions'!$A$11)/MAX(1,COUNTIFS(Engagements!$B$5:$B$106,$A31,Engagements!$F$5:$F$106,'Weights &amp; Assumptions'!$A$11))+'Weights &amp; Assumptions'!$B$6*(COUNTIFS(Engagements!$B$5:$B$106,$A31,Engagements!$F$5:$F$106,"Acquisition")=0)*(VLOOKUP($A31,Customers!$A$5:$F$16,6,FALSE)=J$24)</f>
        <v/>
      </c>
      <c r="K31" s="112">
        <f>'Weights &amp; Assumptions'!$B$6*COUNTIFS(Engagements!$B$5:$B$106,$A31,Engagements!$D$5:$D$106,K$24,Engagements!$F$5:$F$106,'Weights &amp; Assumptions'!$A$6)/MAX(1,COUNTIFS(Engagements!$B$5:$B$106,$A31,Engagements!$F$5:$F$106,'Weights &amp; Assumptions'!$A$6))+'Weights &amp; Assumptions'!$B$7*COUNTIFS(Engagements!$B$5:$B$106,$A31,Engagements!$D$5:$D$106,K$24,Engagements!$F$5:$F$106,'Weights &amp; Assumptions'!$A$7)/MAX(1,COUNTIFS(Engagements!$B$5:$B$106,$A31,Engagements!$F$5:$F$106,'Weights &amp; Assumptions'!$A$7))+'Weights &amp; Assumptions'!$B$8*COUNTIFS(Engagements!$B$5:$B$106,$A31,Engagements!$D$5:$D$106,K$24,Engagements!$F$5:$F$106,'Weights &amp; Assumptions'!$A$8)/MAX(1,COUNTIFS(Engagements!$B$5:$B$106,$A31,Engagements!$F$5:$F$106,'Weights &amp; Assumptions'!$A$8))+'Weights &amp; Assumptions'!$B$9*COUNTIFS(Engagements!$B$5:$B$106,$A31,Engagements!$D$5:$D$106,K$24,Engagements!$F$5:$F$106,'Weights &amp; Assumptions'!$A$9)/MAX(1,COUNTIFS(Engagements!$B$5:$B$106,$A31,Engagements!$F$5:$F$106,'Weights &amp; Assumptions'!$A$9))+'Weights &amp; Assumptions'!$B$10*COUNTIFS(Engagements!$B$5:$B$106,$A31,Engagements!$D$5:$D$106,K$24,Engagements!$F$5:$F$106,'Weights &amp; Assumptions'!$A$10)/MAX(1,COUNTIFS(Engagements!$B$5:$B$106,$A31,Engagements!$F$5:$F$106,'Weights &amp; Assumptions'!$A$10))+'Weights &amp; Assumptions'!$B$11*COUNTIFS(Engagements!$B$5:$B$106,$A31,Engagements!$D$5:$D$106,K$24,Engagements!$F$5:$F$106,'Weights &amp; Assumptions'!$A$11)/MAX(1,COUNTIFS(Engagements!$B$5:$B$106,$A31,Engagements!$F$5:$F$106,'Weights &amp; Assumptions'!$A$11))+'Weights &amp; Assumptions'!$B$6*(COUNTIFS(Engagements!$B$5:$B$106,$A31,Engagements!$F$5:$F$106,"Acquisition")=0)*(VLOOKUP($A31,Customers!$A$5:$F$16,6,FALSE)=K$24)</f>
        <v/>
      </c>
      <c r="L31" s="112">
        <f>'Weights &amp; Assumptions'!$B$6*COUNTIFS(Engagements!$B$5:$B$106,$A31,Engagements!$D$5:$D$106,L$24,Engagements!$F$5:$F$106,'Weights &amp; Assumptions'!$A$6)/MAX(1,COUNTIFS(Engagements!$B$5:$B$106,$A31,Engagements!$F$5:$F$106,'Weights &amp; Assumptions'!$A$6))+'Weights &amp; Assumptions'!$B$7*COUNTIFS(Engagements!$B$5:$B$106,$A31,Engagements!$D$5:$D$106,L$24,Engagements!$F$5:$F$106,'Weights &amp; Assumptions'!$A$7)/MAX(1,COUNTIFS(Engagements!$B$5:$B$106,$A31,Engagements!$F$5:$F$106,'Weights &amp; Assumptions'!$A$7))+'Weights &amp; Assumptions'!$B$8*COUNTIFS(Engagements!$B$5:$B$106,$A31,Engagements!$D$5:$D$106,L$24,Engagements!$F$5:$F$106,'Weights &amp; Assumptions'!$A$8)/MAX(1,COUNTIFS(Engagements!$B$5:$B$106,$A31,Engagements!$F$5:$F$106,'Weights &amp; Assumptions'!$A$8))+'Weights &amp; Assumptions'!$B$9*COUNTIFS(Engagements!$B$5:$B$106,$A31,Engagements!$D$5:$D$106,L$24,Engagements!$F$5:$F$106,'Weights &amp; Assumptions'!$A$9)/MAX(1,COUNTIFS(Engagements!$B$5:$B$106,$A31,Engagements!$F$5:$F$106,'Weights &amp; Assumptions'!$A$9))+'Weights &amp; Assumptions'!$B$10*COUNTIFS(Engagements!$B$5:$B$106,$A31,Engagements!$D$5:$D$106,L$24,Engagements!$F$5:$F$106,'Weights &amp; Assumptions'!$A$10)/MAX(1,COUNTIFS(Engagements!$B$5:$B$106,$A31,Engagements!$F$5:$F$106,'Weights &amp; Assumptions'!$A$10))+'Weights &amp; Assumptions'!$B$11*COUNTIFS(Engagements!$B$5:$B$106,$A31,Engagements!$D$5:$D$106,L$24,Engagements!$F$5:$F$106,'Weights &amp; Assumptions'!$A$11)/MAX(1,COUNTIFS(Engagements!$B$5:$B$106,$A31,Engagements!$F$5:$F$106,'Weights &amp; Assumptions'!$A$11))+'Weights &amp; Assumptions'!$B$6*(COUNTIFS(Engagements!$B$5:$B$106,$A31,Engagements!$F$5:$F$106,"Acquisition")=0)*(VLOOKUP($A31,Customers!$A$5:$F$16,6,FALSE)=L$24)</f>
        <v/>
      </c>
      <c r="M31" s="112">
        <f>'Weights &amp; Assumptions'!$B$6*COUNTIFS(Engagements!$B$5:$B$106,$A31,Engagements!$D$5:$D$106,M$24,Engagements!$F$5:$F$106,'Weights &amp; Assumptions'!$A$6)/MAX(1,COUNTIFS(Engagements!$B$5:$B$106,$A31,Engagements!$F$5:$F$106,'Weights &amp; Assumptions'!$A$6))+'Weights &amp; Assumptions'!$B$7*COUNTIFS(Engagements!$B$5:$B$106,$A31,Engagements!$D$5:$D$106,M$24,Engagements!$F$5:$F$106,'Weights &amp; Assumptions'!$A$7)/MAX(1,COUNTIFS(Engagements!$B$5:$B$106,$A31,Engagements!$F$5:$F$106,'Weights &amp; Assumptions'!$A$7))+'Weights &amp; Assumptions'!$B$8*COUNTIFS(Engagements!$B$5:$B$106,$A31,Engagements!$D$5:$D$106,M$24,Engagements!$F$5:$F$106,'Weights &amp; Assumptions'!$A$8)/MAX(1,COUNTIFS(Engagements!$B$5:$B$106,$A31,Engagements!$F$5:$F$106,'Weights &amp; Assumptions'!$A$8))+'Weights &amp; Assumptions'!$B$9*COUNTIFS(Engagements!$B$5:$B$106,$A31,Engagements!$D$5:$D$106,M$24,Engagements!$F$5:$F$106,'Weights &amp; Assumptions'!$A$9)/MAX(1,COUNTIFS(Engagements!$B$5:$B$106,$A31,Engagements!$F$5:$F$106,'Weights &amp; Assumptions'!$A$9))+'Weights &amp; Assumptions'!$B$10*COUNTIFS(Engagements!$B$5:$B$106,$A31,Engagements!$D$5:$D$106,M$24,Engagements!$F$5:$F$106,'Weights &amp; Assumptions'!$A$10)/MAX(1,COUNTIFS(Engagements!$B$5:$B$106,$A31,Engagements!$F$5:$F$106,'Weights &amp; Assumptions'!$A$10))+'Weights &amp; Assumptions'!$B$11*COUNTIFS(Engagements!$B$5:$B$106,$A31,Engagements!$D$5:$D$106,M$24,Engagements!$F$5:$F$106,'Weights &amp; Assumptions'!$A$11)/MAX(1,COUNTIFS(Engagements!$B$5:$B$106,$A31,Engagements!$F$5:$F$106,'Weights &amp; Assumptions'!$A$11))+'Weights &amp; Assumptions'!$B$6*(COUNTIFS(Engagements!$B$5:$B$106,$A31,Engagements!$F$5:$F$106,"Acquisition")=0)*(VLOOKUP($A31,Customers!$A$5:$F$16,6,FALSE)=M$24)</f>
        <v/>
      </c>
      <c r="N31" s="112">
        <f>'Weights &amp; Assumptions'!$B$6*COUNTIFS(Engagements!$B$5:$B$106,$A31,Engagements!$D$5:$D$106,N$24,Engagements!$F$5:$F$106,'Weights &amp; Assumptions'!$A$6)/MAX(1,COUNTIFS(Engagements!$B$5:$B$106,$A31,Engagements!$F$5:$F$106,'Weights &amp; Assumptions'!$A$6))+'Weights &amp; Assumptions'!$B$7*COUNTIFS(Engagements!$B$5:$B$106,$A31,Engagements!$D$5:$D$106,N$24,Engagements!$F$5:$F$106,'Weights &amp; Assumptions'!$A$7)/MAX(1,COUNTIFS(Engagements!$B$5:$B$106,$A31,Engagements!$F$5:$F$106,'Weights &amp; Assumptions'!$A$7))+'Weights &amp; Assumptions'!$B$8*COUNTIFS(Engagements!$B$5:$B$106,$A31,Engagements!$D$5:$D$106,N$24,Engagements!$F$5:$F$106,'Weights &amp; Assumptions'!$A$8)/MAX(1,COUNTIFS(Engagements!$B$5:$B$106,$A31,Engagements!$F$5:$F$106,'Weights &amp; Assumptions'!$A$8))+'Weights &amp; Assumptions'!$B$9*COUNTIFS(Engagements!$B$5:$B$106,$A31,Engagements!$D$5:$D$106,N$24,Engagements!$F$5:$F$106,'Weights &amp; Assumptions'!$A$9)/MAX(1,COUNTIFS(Engagements!$B$5:$B$106,$A31,Engagements!$F$5:$F$106,'Weights &amp; Assumptions'!$A$9))+'Weights &amp; Assumptions'!$B$10*COUNTIFS(Engagements!$B$5:$B$106,$A31,Engagements!$D$5:$D$106,N$24,Engagements!$F$5:$F$106,'Weights &amp; Assumptions'!$A$10)/MAX(1,COUNTIFS(Engagements!$B$5:$B$106,$A31,Engagements!$F$5:$F$106,'Weights &amp; Assumptions'!$A$10))+'Weights &amp; Assumptions'!$B$11*COUNTIFS(Engagements!$B$5:$B$106,$A31,Engagements!$D$5:$D$106,N$24,Engagements!$F$5:$F$106,'Weights &amp; Assumptions'!$A$11)/MAX(1,COUNTIFS(Engagements!$B$5:$B$106,$A31,Engagements!$F$5:$F$106,'Weights &amp; Assumptions'!$A$11))+'Weights &amp; Assumptions'!$B$6*(COUNTIFS(Engagements!$B$5:$B$106,$A31,Engagements!$F$5:$F$106,"Acquisition")=0)*(VLOOKUP($A31,Customers!$A$5:$F$16,6,FALSE)=N$24)</f>
        <v/>
      </c>
      <c r="O31" s="76">
        <f>ROUND(SUM(C31:N31),1)</f>
        <v/>
      </c>
      <c r="P31" s="76">
        <f>ROUND('Weights &amp; Assumptions'!$B$12-O31,1)</f>
        <v/>
      </c>
    </row>
    <row r="32">
      <c r="A32" s="73">
        <f>Customers!A12</f>
        <v/>
      </c>
      <c r="B32" s="73">
        <f>Customers!B12</f>
        <v/>
      </c>
      <c r="C32" s="112">
        <f>'Weights &amp; Assumptions'!$B$6*COUNTIFS(Engagements!$B$5:$B$106,$A32,Engagements!$D$5:$D$106,C$24,Engagements!$F$5:$F$106,'Weights &amp; Assumptions'!$A$6)/MAX(1,COUNTIFS(Engagements!$B$5:$B$106,$A32,Engagements!$F$5:$F$106,'Weights &amp; Assumptions'!$A$6))+'Weights &amp; Assumptions'!$B$7*COUNTIFS(Engagements!$B$5:$B$106,$A32,Engagements!$D$5:$D$106,C$24,Engagements!$F$5:$F$106,'Weights &amp; Assumptions'!$A$7)/MAX(1,COUNTIFS(Engagements!$B$5:$B$106,$A32,Engagements!$F$5:$F$106,'Weights &amp; Assumptions'!$A$7))+'Weights &amp; Assumptions'!$B$8*COUNTIFS(Engagements!$B$5:$B$106,$A32,Engagements!$D$5:$D$106,C$24,Engagements!$F$5:$F$106,'Weights &amp; Assumptions'!$A$8)/MAX(1,COUNTIFS(Engagements!$B$5:$B$106,$A32,Engagements!$F$5:$F$106,'Weights &amp; Assumptions'!$A$8))+'Weights &amp; Assumptions'!$B$9*COUNTIFS(Engagements!$B$5:$B$106,$A32,Engagements!$D$5:$D$106,C$24,Engagements!$F$5:$F$106,'Weights &amp; Assumptions'!$A$9)/MAX(1,COUNTIFS(Engagements!$B$5:$B$106,$A32,Engagements!$F$5:$F$106,'Weights &amp; Assumptions'!$A$9))+'Weights &amp; Assumptions'!$B$10*COUNTIFS(Engagements!$B$5:$B$106,$A32,Engagements!$D$5:$D$106,C$24,Engagements!$F$5:$F$106,'Weights &amp; Assumptions'!$A$10)/MAX(1,COUNTIFS(Engagements!$B$5:$B$106,$A32,Engagements!$F$5:$F$106,'Weights &amp; Assumptions'!$A$10))+'Weights &amp; Assumptions'!$B$11*COUNTIFS(Engagements!$B$5:$B$106,$A32,Engagements!$D$5:$D$106,C$24,Engagements!$F$5:$F$106,'Weights &amp; Assumptions'!$A$11)/MAX(1,COUNTIFS(Engagements!$B$5:$B$106,$A32,Engagements!$F$5:$F$106,'Weights &amp; Assumptions'!$A$11))+'Weights &amp; Assumptions'!$B$6*(COUNTIFS(Engagements!$B$5:$B$106,$A32,Engagements!$F$5:$F$106,"Acquisition")=0)*(VLOOKUP($A32,Customers!$A$5:$F$16,6,FALSE)=C$24)</f>
        <v/>
      </c>
      <c r="D32" s="112">
        <f>'Weights &amp; Assumptions'!$B$6*COUNTIFS(Engagements!$B$5:$B$106,$A32,Engagements!$D$5:$D$106,D$24,Engagements!$F$5:$F$106,'Weights &amp; Assumptions'!$A$6)/MAX(1,COUNTIFS(Engagements!$B$5:$B$106,$A32,Engagements!$F$5:$F$106,'Weights &amp; Assumptions'!$A$6))+'Weights &amp; Assumptions'!$B$7*COUNTIFS(Engagements!$B$5:$B$106,$A32,Engagements!$D$5:$D$106,D$24,Engagements!$F$5:$F$106,'Weights &amp; Assumptions'!$A$7)/MAX(1,COUNTIFS(Engagements!$B$5:$B$106,$A32,Engagements!$F$5:$F$106,'Weights &amp; Assumptions'!$A$7))+'Weights &amp; Assumptions'!$B$8*COUNTIFS(Engagements!$B$5:$B$106,$A32,Engagements!$D$5:$D$106,D$24,Engagements!$F$5:$F$106,'Weights &amp; Assumptions'!$A$8)/MAX(1,COUNTIFS(Engagements!$B$5:$B$106,$A32,Engagements!$F$5:$F$106,'Weights &amp; Assumptions'!$A$8))+'Weights &amp; Assumptions'!$B$9*COUNTIFS(Engagements!$B$5:$B$106,$A32,Engagements!$D$5:$D$106,D$24,Engagements!$F$5:$F$106,'Weights &amp; Assumptions'!$A$9)/MAX(1,COUNTIFS(Engagements!$B$5:$B$106,$A32,Engagements!$F$5:$F$106,'Weights &amp; Assumptions'!$A$9))+'Weights &amp; Assumptions'!$B$10*COUNTIFS(Engagements!$B$5:$B$106,$A32,Engagements!$D$5:$D$106,D$24,Engagements!$F$5:$F$106,'Weights &amp; Assumptions'!$A$10)/MAX(1,COUNTIFS(Engagements!$B$5:$B$106,$A32,Engagements!$F$5:$F$106,'Weights &amp; Assumptions'!$A$10))+'Weights &amp; Assumptions'!$B$11*COUNTIFS(Engagements!$B$5:$B$106,$A32,Engagements!$D$5:$D$106,D$24,Engagements!$F$5:$F$106,'Weights &amp; Assumptions'!$A$11)/MAX(1,COUNTIFS(Engagements!$B$5:$B$106,$A32,Engagements!$F$5:$F$106,'Weights &amp; Assumptions'!$A$11))+'Weights &amp; Assumptions'!$B$6*(COUNTIFS(Engagements!$B$5:$B$106,$A32,Engagements!$F$5:$F$106,"Acquisition")=0)*(VLOOKUP($A32,Customers!$A$5:$F$16,6,FALSE)=D$24)</f>
        <v/>
      </c>
      <c r="E32" s="112">
        <f>'Weights &amp; Assumptions'!$B$6*COUNTIFS(Engagements!$B$5:$B$106,$A32,Engagements!$D$5:$D$106,E$24,Engagements!$F$5:$F$106,'Weights &amp; Assumptions'!$A$6)/MAX(1,COUNTIFS(Engagements!$B$5:$B$106,$A32,Engagements!$F$5:$F$106,'Weights &amp; Assumptions'!$A$6))+'Weights &amp; Assumptions'!$B$7*COUNTIFS(Engagements!$B$5:$B$106,$A32,Engagements!$D$5:$D$106,E$24,Engagements!$F$5:$F$106,'Weights &amp; Assumptions'!$A$7)/MAX(1,COUNTIFS(Engagements!$B$5:$B$106,$A32,Engagements!$F$5:$F$106,'Weights &amp; Assumptions'!$A$7))+'Weights &amp; Assumptions'!$B$8*COUNTIFS(Engagements!$B$5:$B$106,$A32,Engagements!$D$5:$D$106,E$24,Engagements!$F$5:$F$106,'Weights &amp; Assumptions'!$A$8)/MAX(1,COUNTIFS(Engagements!$B$5:$B$106,$A32,Engagements!$F$5:$F$106,'Weights &amp; Assumptions'!$A$8))+'Weights &amp; Assumptions'!$B$9*COUNTIFS(Engagements!$B$5:$B$106,$A32,Engagements!$D$5:$D$106,E$24,Engagements!$F$5:$F$106,'Weights &amp; Assumptions'!$A$9)/MAX(1,COUNTIFS(Engagements!$B$5:$B$106,$A32,Engagements!$F$5:$F$106,'Weights &amp; Assumptions'!$A$9))+'Weights &amp; Assumptions'!$B$10*COUNTIFS(Engagements!$B$5:$B$106,$A32,Engagements!$D$5:$D$106,E$24,Engagements!$F$5:$F$106,'Weights &amp; Assumptions'!$A$10)/MAX(1,COUNTIFS(Engagements!$B$5:$B$106,$A32,Engagements!$F$5:$F$106,'Weights &amp; Assumptions'!$A$10))+'Weights &amp; Assumptions'!$B$11*COUNTIFS(Engagements!$B$5:$B$106,$A32,Engagements!$D$5:$D$106,E$24,Engagements!$F$5:$F$106,'Weights &amp; Assumptions'!$A$11)/MAX(1,COUNTIFS(Engagements!$B$5:$B$106,$A32,Engagements!$F$5:$F$106,'Weights &amp; Assumptions'!$A$11))+'Weights &amp; Assumptions'!$B$6*(COUNTIFS(Engagements!$B$5:$B$106,$A32,Engagements!$F$5:$F$106,"Acquisition")=0)*(VLOOKUP($A32,Customers!$A$5:$F$16,6,FALSE)=E$24)</f>
        <v/>
      </c>
      <c r="F32" s="112">
        <f>'Weights &amp; Assumptions'!$B$6*COUNTIFS(Engagements!$B$5:$B$106,$A32,Engagements!$D$5:$D$106,F$24,Engagements!$F$5:$F$106,'Weights &amp; Assumptions'!$A$6)/MAX(1,COUNTIFS(Engagements!$B$5:$B$106,$A32,Engagements!$F$5:$F$106,'Weights &amp; Assumptions'!$A$6))+'Weights &amp; Assumptions'!$B$7*COUNTIFS(Engagements!$B$5:$B$106,$A32,Engagements!$D$5:$D$106,F$24,Engagements!$F$5:$F$106,'Weights &amp; Assumptions'!$A$7)/MAX(1,COUNTIFS(Engagements!$B$5:$B$106,$A32,Engagements!$F$5:$F$106,'Weights &amp; Assumptions'!$A$7))+'Weights &amp; Assumptions'!$B$8*COUNTIFS(Engagements!$B$5:$B$106,$A32,Engagements!$D$5:$D$106,F$24,Engagements!$F$5:$F$106,'Weights &amp; Assumptions'!$A$8)/MAX(1,COUNTIFS(Engagements!$B$5:$B$106,$A32,Engagements!$F$5:$F$106,'Weights &amp; Assumptions'!$A$8))+'Weights &amp; Assumptions'!$B$9*COUNTIFS(Engagements!$B$5:$B$106,$A32,Engagements!$D$5:$D$106,F$24,Engagements!$F$5:$F$106,'Weights &amp; Assumptions'!$A$9)/MAX(1,COUNTIFS(Engagements!$B$5:$B$106,$A32,Engagements!$F$5:$F$106,'Weights &amp; Assumptions'!$A$9))+'Weights &amp; Assumptions'!$B$10*COUNTIFS(Engagements!$B$5:$B$106,$A32,Engagements!$D$5:$D$106,F$24,Engagements!$F$5:$F$106,'Weights &amp; Assumptions'!$A$10)/MAX(1,COUNTIFS(Engagements!$B$5:$B$106,$A32,Engagements!$F$5:$F$106,'Weights &amp; Assumptions'!$A$10))+'Weights &amp; Assumptions'!$B$11*COUNTIFS(Engagements!$B$5:$B$106,$A32,Engagements!$D$5:$D$106,F$24,Engagements!$F$5:$F$106,'Weights &amp; Assumptions'!$A$11)/MAX(1,COUNTIFS(Engagements!$B$5:$B$106,$A32,Engagements!$F$5:$F$106,'Weights &amp; Assumptions'!$A$11))+'Weights &amp; Assumptions'!$B$6*(COUNTIFS(Engagements!$B$5:$B$106,$A32,Engagements!$F$5:$F$106,"Acquisition")=0)*(VLOOKUP($A32,Customers!$A$5:$F$16,6,FALSE)=F$24)</f>
        <v/>
      </c>
      <c r="G32" s="112">
        <f>'Weights &amp; Assumptions'!$B$6*COUNTIFS(Engagements!$B$5:$B$106,$A32,Engagements!$D$5:$D$106,G$24,Engagements!$F$5:$F$106,'Weights &amp; Assumptions'!$A$6)/MAX(1,COUNTIFS(Engagements!$B$5:$B$106,$A32,Engagements!$F$5:$F$106,'Weights &amp; Assumptions'!$A$6))+'Weights &amp; Assumptions'!$B$7*COUNTIFS(Engagements!$B$5:$B$106,$A32,Engagements!$D$5:$D$106,G$24,Engagements!$F$5:$F$106,'Weights &amp; Assumptions'!$A$7)/MAX(1,COUNTIFS(Engagements!$B$5:$B$106,$A32,Engagements!$F$5:$F$106,'Weights &amp; Assumptions'!$A$7))+'Weights &amp; Assumptions'!$B$8*COUNTIFS(Engagements!$B$5:$B$106,$A32,Engagements!$D$5:$D$106,G$24,Engagements!$F$5:$F$106,'Weights &amp; Assumptions'!$A$8)/MAX(1,COUNTIFS(Engagements!$B$5:$B$106,$A32,Engagements!$F$5:$F$106,'Weights &amp; Assumptions'!$A$8))+'Weights &amp; Assumptions'!$B$9*COUNTIFS(Engagements!$B$5:$B$106,$A32,Engagements!$D$5:$D$106,G$24,Engagements!$F$5:$F$106,'Weights &amp; Assumptions'!$A$9)/MAX(1,COUNTIFS(Engagements!$B$5:$B$106,$A32,Engagements!$F$5:$F$106,'Weights &amp; Assumptions'!$A$9))+'Weights &amp; Assumptions'!$B$10*COUNTIFS(Engagements!$B$5:$B$106,$A32,Engagements!$D$5:$D$106,G$24,Engagements!$F$5:$F$106,'Weights &amp; Assumptions'!$A$10)/MAX(1,COUNTIFS(Engagements!$B$5:$B$106,$A32,Engagements!$F$5:$F$106,'Weights &amp; Assumptions'!$A$10))+'Weights &amp; Assumptions'!$B$11*COUNTIFS(Engagements!$B$5:$B$106,$A32,Engagements!$D$5:$D$106,G$24,Engagements!$F$5:$F$106,'Weights &amp; Assumptions'!$A$11)/MAX(1,COUNTIFS(Engagements!$B$5:$B$106,$A32,Engagements!$F$5:$F$106,'Weights &amp; Assumptions'!$A$11))+'Weights &amp; Assumptions'!$B$6*(COUNTIFS(Engagements!$B$5:$B$106,$A32,Engagements!$F$5:$F$106,"Acquisition")=0)*(VLOOKUP($A32,Customers!$A$5:$F$16,6,FALSE)=G$24)</f>
        <v/>
      </c>
      <c r="H32" s="112">
        <f>'Weights &amp; Assumptions'!$B$6*COUNTIFS(Engagements!$B$5:$B$106,$A32,Engagements!$D$5:$D$106,H$24,Engagements!$F$5:$F$106,'Weights &amp; Assumptions'!$A$6)/MAX(1,COUNTIFS(Engagements!$B$5:$B$106,$A32,Engagements!$F$5:$F$106,'Weights &amp; Assumptions'!$A$6))+'Weights &amp; Assumptions'!$B$7*COUNTIFS(Engagements!$B$5:$B$106,$A32,Engagements!$D$5:$D$106,H$24,Engagements!$F$5:$F$106,'Weights &amp; Assumptions'!$A$7)/MAX(1,COUNTIFS(Engagements!$B$5:$B$106,$A32,Engagements!$F$5:$F$106,'Weights &amp; Assumptions'!$A$7))+'Weights &amp; Assumptions'!$B$8*COUNTIFS(Engagements!$B$5:$B$106,$A32,Engagements!$D$5:$D$106,H$24,Engagements!$F$5:$F$106,'Weights &amp; Assumptions'!$A$8)/MAX(1,COUNTIFS(Engagements!$B$5:$B$106,$A32,Engagements!$F$5:$F$106,'Weights &amp; Assumptions'!$A$8))+'Weights &amp; Assumptions'!$B$9*COUNTIFS(Engagements!$B$5:$B$106,$A32,Engagements!$D$5:$D$106,H$24,Engagements!$F$5:$F$106,'Weights &amp; Assumptions'!$A$9)/MAX(1,COUNTIFS(Engagements!$B$5:$B$106,$A32,Engagements!$F$5:$F$106,'Weights &amp; Assumptions'!$A$9))+'Weights &amp; Assumptions'!$B$10*COUNTIFS(Engagements!$B$5:$B$106,$A32,Engagements!$D$5:$D$106,H$24,Engagements!$F$5:$F$106,'Weights &amp; Assumptions'!$A$10)/MAX(1,COUNTIFS(Engagements!$B$5:$B$106,$A32,Engagements!$F$5:$F$106,'Weights &amp; Assumptions'!$A$10))+'Weights &amp; Assumptions'!$B$11*COUNTIFS(Engagements!$B$5:$B$106,$A32,Engagements!$D$5:$D$106,H$24,Engagements!$F$5:$F$106,'Weights &amp; Assumptions'!$A$11)/MAX(1,COUNTIFS(Engagements!$B$5:$B$106,$A32,Engagements!$F$5:$F$106,'Weights &amp; Assumptions'!$A$11))+'Weights &amp; Assumptions'!$B$6*(COUNTIFS(Engagements!$B$5:$B$106,$A32,Engagements!$F$5:$F$106,"Acquisition")=0)*(VLOOKUP($A32,Customers!$A$5:$F$16,6,FALSE)=H$24)</f>
        <v/>
      </c>
      <c r="I32" s="112">
        <f>'Weights &amp; Assumptions'!$B$6*COUNTIFS(Engagements!$B$5:$B$106,$A32,Engagements!$D$5:$D$106,I$24,Engagements!$F$5:$F$106,'Weights &amp; Assumptions'!$A$6)/MAX(1,COUNTIFS(Engagements!$B$5:$B$106,$A32,Engagements!$F$5:$F$106,'Weights &amp; Assumptions'!$A$6))+'Weights &amp; Assumptions'!$B$7*COUNTIFS(Engagements!$B$5:$B$106,$A32,Engagements!$D$5:$D$106,I$24,Engagements!$F$5:$F$106,'Weights &amp; Assumptions'!$A$7)/MAX(1,COUNTIFS(Engagements!$B$5:$B$106,$A32,Engagements!$F$5:$F$106,'Weights &amp; Assumptions'!$A$7))+'Weights &amp; Assumptions'!$B$8*COUNTIFS(Engagements!$B$5:$B$106,$A32,Engagements!$D$5:$D$106,I$24,Engagements!$F$5:$F$106,'Weights &amp; Assumptions'!$A$8)/MAX(1,COUNTIFS(Engagements!$B$5:$B$106,$A32,Engagements!$F$5:$F$106,'Weights &amp; Assumptions'!$A$8))+'Weights &amp; Assumptions'!$B$9*COUNTIFS(Engagements!$B$5:$B$106,$A32,Engagements!$D$5:$D$106,I$24,Engagements!$F$5:$F$106,'Weights &amp; Assumptions'!$A$9)/MAX(1,COUNTIFS(Engagements!$B$5:$B$106,$A32,Engagements!$F$5:$F$106,'Weights &amp; Assumptions'!$A$9))+'Weights &amp; Assumptions'!$B$10*COUNTIFS(Engagements!$B$5:$B$106,$A32,Engagements!$D$5:$D$106,I$24,Engagements!$F$5:$F$106,'Weights &amp; Assumptions'!$A$10)/MAX(1,COUNTIFS(Engagements!$B$5:$B$106,$A32,Engagements!$F$5:$F$106,'Weights &amp; Assumptions'!$A$10))+'Weights &amp; Assumptions'!$B$11*COUNTIFS(Engagements!$B$5:$B$106,$A32,Engagements!$D$5:$D$106,I$24,Engagements!$F$5:$F$106,'Weights &amp; Assumptions'!$A$11)/MAX(1,COUNTIFS(Engagements!$B$5:$B$106,$A32,Engagements!$F$5:$F$106,'Weights &amp; Assumptions'!$A$11))+'Weights &amp; Assumptions'!$B$6*(COUNTIFS(Engagements!$B$5:$B$106,$A32,Engagements!$F$5:$F$106,"Acquisition")=0)*(VLOOKUP($A32,Customers!$A$5:$F$16,6,FALSE)=I$24)</f>
        <v/>
      </c>
      <c r="J32" s="112">
        <f>'Weights &amp; Assumptions'!$B$6*COUNTIFS(Engagements!$B$5:$B$106,$A32,Engagements!$D$5:$D$106,J$24,Engagements!$F$5:$F$106,'Weights &amp; Assumptions'!$A$6)/MAX(1,COUNTIFS(Engagements!$B$5:$B$106,$A32,Engagements!$F$5:$F$106,'Weights &amp; Assumptions'!$A$6))+'Weights &amp; Assumptions'!$B$7*COUNTIFS(Engagements!$B$5:$B$106,$A32,Engagements!$D$5:$D$106,J$24,Engagements!$F$5:$F$106,'Weights &amp; Assumptions'!$A$7)/MAX(1,COUNTIFS(Engagements!$B$5:$B$106,$A32,Engagements!$F$5:$F$106,'Weights &amp; Assumptions'!$A$7))+'Weights &amp; Assumptions'!$B$8*COUNTIFS(Engagements!$B$5:$B$106,$A32,Engagements!$D$5:$D$106,J$24,Engagements!$F$5:$F$106,'Weights &amp; Assumptions'!$A$8)/MAX(1,COUNTIFS(Engagements!$B$5:$B$106,$A32,Engagements!$F$5:$F$106,'Weights &amp; Assumptions'!$A$8))+'Weights &amp; Assumptions'!$B$9*COUNTIFS(Engagements!$B$5:$B$106,$A32,Engagements!$D$5:$D$106,J$24,Engagements!$F$5:$F$106,'Weights &amp; Assumptions'!$A$9)/MAX(1,COUNTIFS(Engagements!$B$5:$B$106,$A32,Engagements!$F$5:$F$106,'Weights &amp; Assumptions'!$A$9))+'Weights &amp; Assumptions'!$B$10*COUNTIFS(Engagements!$B$5:$B$106,$A32,Engagements!$D$5:$D$106,J$24,Engagements!$F$5:$F$106,'Weights &amp; Assumptions'!$A$10)/MAX(1,COUNTIFS(Engagements!$B$5:$B$106,$A32,Engagements!$F$5:$F$106,'Weights &amp; Assumptions'!$A$10))+'Weights &amp; Assumptions'!$B$11*COUNTIFS(Engagements!$B$5:$B$106,$A32,Engagements!$D$5:$D$106,J$24,Engagements!$F$5:$F$106,'Weights &amp; Assumptions'!$A$11)/MAX(1,COUNTIFS(Engagements!$B$5:$B$106,$A32,Engagements!$F$5:$F$106,'Weights &amp; Assumptions'!$A$11))+'Weights &amp; Assumptions'!$B$6*(COUNTIFS(Engagements!$B$5:$B$106,$A32,Engagements!$F$5:$F$106,"Acquisition")=0)*(VLOOKUP($A32,Customers!$A$5:$F$16,6,FALSE)=J$24)</f>
        <v/>
      </c>
      <c r="K32" s="112">
        <f>'Weights &amp; Assumptions'!$B$6*COUNTIFS(Engagements!$B$5:$B$106,$A32,Engagements!$D$5:$D$106,K$24,Engagements!$F$5:$F$106,'Weights &amp; Assumptions'!$A$6)/MAX(1,COUNTIFS(Engagements!$B$5:$B$106,$A32,Engagements!$F$5:$F$106,'Weights &amp; Assumptions'!$A$6))+'Weights &amp; Assumptions'!$B$7*COUNTIFS(Engagements!$B$5:$B$106,$A32,Engagements!$D$5:$D$106,K$24,Engagements!$F$5:$F$106,'Weights &amp; Assumptions'!$A$7)/MAX(1,COUNTIFS(Engagements!$B$5:$B$106,$A32,Engagements!$F$5:$F$106,'Weights &amp; Assumptions'!$A$7))+'Weights &amp; Assumptions'!$B$8*COUNTIFS(Engagements!$B$5:$B$106,$A32,Engagements!$D$5:$D$106,K$24,Engagements!$F$5:$F$106,'Weights &amp; Assumptions'!$A$8)/MAX(1,COUNTIFS(Engagements!$B$5:$B$106,$A32,Engagements!$F$5:$F$106,'Weights &amp; Assumptions'!$A$8))+'Weights &amp; Assumptions'!$B$9*COUNTIFS(Engagements!$B$5:$B$106,$A32,Engagements!$D$5:$D$106,K$24,Engagements!$F$5:$F$106,'Weights &amp; Assumptions'!$A$9)/MAX(1,COUNTIFS(Engagements!$B$5:$B$106,$A32,Engagements!$F$5:$F$106,'Weights &amp; Assumptions'!$A$9))+'Weights &amp; Assumptions'!$B$10*COUNTIFS(Engagements!$B$5:$B$106,$A32,Engagements!$D$5:$D$106,K$24,Engagements!$F$5:$F$106,'Weights &amp; Assumptions'!$A$10)/MAX(1,COUNTIFS(Engagements!$B$5:$B$106,$A32,Engagements!$F$5:$F$106,'Weights &amp; Assumptions'!$A$10))+'Weights &amp; Assumptions'!$B$11*COUNTIFS(Engagements!$B$5:$B$106,$A32,Engagements!$D$5:$D$106,K$24,Engagements!$F$5:$F$106,'Weights &amp; Assumptions'!$A$11)/MAX(1,COUNTIFS(Engagements!$B$5:$B$106,$A32,Engagements!$F$5:$F$106,'Weights &amp; Assumptions'!$A$11))+'Weights &amp; Assumptions'!$B$6*(COUNTIFS(Engagements!$B$5:$B$106,$A32,Engagements!$F$5:$F$106,"Acquisition")=0)*(VLOOKUP($A32,Customers!$A$5:$F$16,6,FALSE)=K$24)</f>
        <v/>
      </c>
      <c r="L32" s="112">
        <f>'Weights &amp; Assumptions'!$B$6*COUNTIFS(Engagements!$B$5:$B$106,$A32,Engagements!$D$5:$D$106,L$24,Engagements!$F$5:$F$106,'Weights &amp; Assumptions'!$A$6)/MAX(1,COUNTIFS(Engagements!$B$5:$B$106,$A32,Engagements!$F$5:$F$106,'Weights &amp; Assumptions'!$A$6))+'Weights &amp; Assumptions'!$B$7*COUNTIFS(Engagements!$B$5:$B$106,$A32,Engagements!$D$5:$D$106,L$24,Engagements!$F$5:$F$106,'Weights &amp; Assumptions'!$A$7)/MAX(1,COUNTIFS(Engagements!$B$5:$B$106,$A32,Engagements!$F$5:$F$106,'Weights &amp; Assumptions'!$A$7))+'Weights &amp; Assumptions'!$B$8*COUNTIFS(Engagements!$B$5:$B$106,$A32,Engagements!$D$5:$D$106,L$24,Engagements!$F$5:$F$106,'Weights &amp; Assumptions'!$A$8)/MAX(1,COUNTIFS(Engagements!$B$5:$B$106,$A32,Engagements!$F$5:$F$106,'Weights &amp; Assumptions'!$A$8))+'Weights &amp; Assumptions'!$B$9*COUNTIFS(Engagements!$B$5:$B$106,$A32,Engagements!$D$5:$D$106,L$24,Engagements!$F$5:$F$106,'Weights &amp; Assumptions'!$A$9)/MAX(1,COUNTIFS(Engagements!$B$5:$B$106,$A32,Engagements!$F$5:$F$106,'Weights &amp; Assumptions'!$A$9))+'Weights &amp; Assumptions'!$B$10*COUNTIFS(Engagements!$B$5:$B$106,$A32,Engagements!$D$5:$D$106,L$24,Engagements!$F$5:$F$106,'Weights &amp; Assumptions'!$A$10)/MAX(1,COUNTIFS(Engagements!$B$5:$B$106,$A32,Engagements!$F$5:$F$106,'Weights &amp; Assumptions'!$A$10))+'Weights &amp; Assumptions'!$B$11*COUNTIFS(Engagements!$B$5:$B$106,$A32,Engagements!$D$5:$D$106,L$24,Engagements!$F$5:$F$106,'Weights &amp; Assumptions'!$A$11)/MAX(1,COUNTIFS(Engagements!$B$5:$B$106,$A32,Engagements!$F$5:$F$106,'Weights &amp; Assumptions'!$A$11))+'Weights &amp; Assumptions'!$B$6*(COUNTIFS(Engagements!$B$5:$B$106,$A32,Engagements!$F$5:$F$106,"Acquisition")=0)*(VLOOKUP($A32,Customers!$A$5:$F$16,6,FALSE)=L$24)</f>
        <v/>
      </c>
      <c r="M32" s="112">
        <f>'Weights &amp; Assumptions'!$B$6*COUNTIFS(Engagements!$B$5:$B$106,$A32,Engagements!$D$5:$D$106,M$24,Engagements!$F$5:$F$106,'Weights &amp; Assumptions'!$A$6)/MAX(1,COUNTIFS(Engagements!$B$5:$B$106,$A32,Engagements!$F$5:$F$106,'Weights &amp; Assumptions'!$A$6))+'Weights &amp; Assumptions'!$B$7*COUNTIFS(Engagements!$B$5:$B$106,$A32,Engagements!$D$5:$D$106,M$24,Engagements!$F$5:$F$106,'Weights &amp; Assumptions'!$A$7)/MAX(1,COUNTIFS(Engagements!$B$5:$B$106,$A32,Engagements!$F$5:$F$106,'Weights &amp; Assumptions'!$A$7))+'Weights &amp; Assumptions'!$B$8*COUNTIFS(Engagements!$B$5:$B$106,$A32,Engagements!$D$5:$D$106,M$24,Engagements!$F$5:$F$106,'Weights &amp; Assumptions'!$A$8)/MAX(1,COUNTIFS(Engagements!$B$5:$B$106,$A32,Engagements!$F$5:$F$106,'Weights &amp; Assumptions'!$A$8))+'Weights &amp; Assumptions'!$B$9*COUNTIFS(Engagements!$B$5:$B$106,$A32,Engagements!$D$5:$D$106,M$24,Engagements!$F$5:$F$106,'Weights &amp; Assumptions'!$A$9)/MAX(1,COUNTIFS(Engagements!$B$5:$B$106,$A32,Engagements!$F$5:$F$106,'Weights &amp; Assumptions'!$A$9))+'Weights &amp; Assumptions'!$B$10*COUNTIFS(Engagements!$B$5:$B$106,$A32,Engagements!$D$5:$D$106,M$24,Engagements!$F$5:$F$106,'Weights &amp; Assumptions'!$A$10)/MAX(1,COUNTIFS(Engagements!$B$5:$B$106,$A32,Engagements!$F$5:$F$106,'Weights &amp; Assumptions'!$A$10))+'Weights &amp; Assumptions'!$B$11*COUNTIFS(Engagements!$B$5:$B$106,$A32,Engagements!$D$5:$D$106,M$24,Engagements!$F$5:$F$106,'Weights &amp; Assumptions'!$A$11)/MAX(1,COUNTIFS(Engagements!$B$5:$B$106,$A32,Engagements!$F$5:$F$106,'Weights &amp; Assumptions'!$A$11))+'Weights &amp; Assumptions'!$B$6*(COUNTIFS(Engagements!$B$5:$B$106,$A32,Engagements!$F$5:$F$106,"Acquisition")=0)*(VLOOKUP($A32,Customers!$A$5:$F$16,6,FALSE)=M$24)</f>
        <v/>
      </c>
      <c r="N32" s="112">
        <f>'Weights &amp; Assumptions'!$B$6*COUNTIFS(Engagements!$B$5:$B$106,$A32,Engagements!$D$5:$D$106,N$24,Engagements!$F$5:$F$106,'Weights &amp; Assumptions'!$A$6)/MAX(1,COUNTIFS(Engagements!$B$5:$B$106,$A32,Engagements!$F$5:$F$106,'Weights &amp; Assumptions'!$A$6))+'Weights &amp; Assumptions'!$B$7*COUNTIFS(Engagements!$B$5:$B$106,$A32,Engagements!$D$5:$D$106,N$24,Engagements!$F$5:$F$106,'Weights &amp; Assumptions'!$A$7)/MAX(1,COUNTIFS(Engagements!$B$5:$B$106,$A32,Engagements!$F$5:$F$106,'Weights &amp; Assumptions'!$A$7))+'Weights &amp; Assumptions'!$B$8*COUNTIFS(Engagements!$B$5:$B$106,$A32,Engagements!$D$5:$D$106,N$24,Engagements!$F$5:$F$106,'Weights &amp; Assumptions'!$A$8)/MAX(1,COUNTIFS(Engagements!$B$5:$B$106,$A32,Engagements!$F$5:$F$106,'Weights &amp; Assumptions'!$A$8))+'Weights &amp; Assumptions'!$B$9*COUNTIFS(Engagements!$B$5:$B$106,$A32,Engagements!$D$5:$D$106,N$24,Engagements!$F$5:$F$106,'Weights &amp; Assumptions'!$A$9)/MAX(1,COUNTIFS(Engagements!$B$5:$B$106,$A32,Engagements!$F$5:$F$106,'Weights &amp; Assumptions'!$A$9))+'Weights &amp; Assumptions'!$B$10*COUNTIFS(Engagements!$B$5:$B$106,$A32,Engagements!$D$5:$D$106,N$24,Engagements!$F$5:$F$106,'Weights &amp; Assumptions'!$A$10)/MAX(1,COUNTIFS(Engagements!$B$5:$B$106,$A32,Engagements!$F$5:$F$106,'Weights &amp; Assumptions'!$A$10))+'Weights &amp; Assumptions'!$B$11*COUNTIFS(Engagements!$B$5:$B$106,$A32,Engagements!$D$5:$D$106,N$24,Engagements!$F$5:$F$106,'Weights &amp; Assumptions'!$A$11)/MAX(1,COUNTIFS(Engagements!$B$5:$B$106,$A32,Engagements!$F$5:$F$106,'Weights &amp; Assumptions'!$A$11))+'Weights &amp; Assumptions'!$B$6*(COUNTIFS(Engagements!$B$5:$B$106,$A32,Engagements!$F$5:$F$106,"Acquisition")=0)*(VLOOKUP($A32,Customers!$A$5:$F$16,6,FALSE)=N$24)</f>
        <v/>
      </c>
      <c r="O32" s="76">
        <f>ROUND(SUM(C32:N32),1)</f>
        <v/>
      </c>
      <c r="P32" s="76">
        <f>ROUND('Weights &amp; Assumptions'!$B$12-O32,1)</f>
        <v/>
      </c>
    </row>
    <row r="33">
      <c r="A33" s="73">
        <f>Customers!A13</f>
        <v/>
      </c>
      <c r="B33" s="73">
        <f>Customers!B13</f>
        <v/>
      </c>
      <c r="C33" s="112">
        <f>'Weights &amp; Assumptions'!$B$6*COUNTIFS(Engagements!$B$5:$B$106,$A33,Engagements!$D$5:$D$106,C$24,Engagements!$F$5:$F$106,'Weights &amp; Assumptions'!$A$6)/MAX(1,COUNTIFS(Engagements!$B$5:$B$106,$A33,Engagements!$F$5:$F$106,'Weights &amp; Assumptions'!$A$6))+'Weights &amp; Assumptions'!$B$7*COUNTIFS(Engagements!$B$5:$B$106,$A33,Engagements!$D$5:$D$106,C$24,Engagements!$F$5:$F$106,'Weights &amp; Assumptions'!$A$7)/MAX(1,COUNTIFS(Engagements!$B$5:$B$106,$A33,Engagements!$F$5:$F$106,'Weights &amp; Assumptions'!$A$7))+'Weights &amp; Assumptions'!$B$8*COUNTIFS(Engagements!$B$5:$B$106,$A33,Engagements!$D$5:$D$106,C$24,Engagements!$F$5:$F$106,'Weights &amp; Assumptions'!$A$8)/MAX(1,COUNTIFS(Engagements!$B$5:$B$106,$A33,Engagements!$F$5:$F$106,'Weights &amp; Assumptions'!$A$8))+'Weights &amp; Assumptions'!$B$9*COUNTIFS(Engagements!$B$5:$B$106,$A33,Engagements!$D$5:$D$106,C$24,Engagements!$F$5:$F$106,'Weights &amp; Assumptions'!$A$9)/MAX(1,COUNTIFS(Engagements!$B$5:$B$106,$A33,Engagements!$F$5:$F$106,'Weights &amp; Assumptions'!$A$9))+'Weights &amp; Assumptions'!$B$10*COUNTIFS(Engagements!$B$5:$B$106,$A33,Engagements!$D$5:$D$106,C$24,Engagements!$F$5:$F$106,'Weights &amp; Assumptions'!$A$10)/MAX(1,COUNTIFS(Engagements!$B$5:$B$106,$A33,Engagements!$F$5:$F$106,'Weights &amp; Assumptions'!$A$10))+'Weights &amp; Assumptions'!$B$11*COUNTIFS(Engagements!$B$5:$B$106,$A33,Engagements!$D$5:$D$106,C$24,Engagements!$F$5:$F$106,'Weights &amp; Assumptions'!$A$11)/MAX(1,COUNTIFS(Engagements!$B$5:$B$106,$A33,Engagements!$F$5:$F$106,'Weights &amp; Assumptions'!$A$11))+'Weights &amp; Assumptions'!$B$6*(COUNTIFS(Engagements!$B$5:$B$106,$A33,Engagements!$F$5:$F$106,"Acquisition")=0)*(VLOOKUP($A33,Customers!$A$5:$F$16,6,FALSE)=C$24)</f>
        <v/>
      </c>
      <c r="D33" s="112">
        <f>'Weights &amp; Assumptions'!$B$6*COUNTIFS(Engagements!$B$5:$B$106,$A33,Engagements!$D$5:$D$106,D$24,Engagements!$F$5:$F$106,'Weights &amp; Assumptions'!$A$6)/MAX(1,COUNTIFS(Engagements!$B$5:$B$106,$A33,Engagements!$F$5:$F$106,'Weights &amp; Assumptions'!$A$6))+'Weights &amp; Assumptions'!$B$7*COUNTIFS(Engagements!$B$5:$B$106,$A33,Engagements!$D$5:$D$106,D$24,Engagements!$F$5:$F$106,'Weights &amp; Assumptions'!$A$7)/MAX(1,COUNTIFS(Engagements!$B$5:$B$106,$A33,Engagements!$F$5:$F$106,'Weights &amp; Assumptions'!$A$7))+'Weights &amp; Assumptions'!$B$8*COUNTIFS(Engagements!$B$5:$B$106,$A33,Engagements!$D$5:$D$106,D$24,Engagements!$F$5:$F$106,'Weights &amp; Assumptions'!$A$8)/MAX(1,COUNTIFS(Engagements!$B$5:$B$106,$A33,Engagements!$F$5:$F$106,'Weights &amp; Assumptions'!$A$8))+'Weights &amp; Assumptions'!$B$9*COUNTIFS(Engagements!$B$5:$B$106,$A33,Engagements!$D$5:$D$106,D$24,Engagements!$F$5:$F$106,'Weights &amp; Assumptions'!$A$9)/MAX(1,COUNTIFS(Engagements!$B$5:$B$106,$A33,Engagements!$F$5:$F$106,'Weights &amp; Assumptions'!$A$9))+'Weights &amp; Assumptions'!$B$10*COUNTIFS(Engagements!$B$5:$B$106,$A33,Engagements!$D$5:$D$106,D$24,Engagements!$F$5:$F$106,'Weights &amp; Assumptions'!$A$10)/MAX(1,COUNTIFS(Engagements!$B$5:$B$106,$A33,Engagements!$F$5:$F$106,'Weights &amp; Assumptions'!$A$10))+'Weights &amp; Assumptions'!$B$11*COUNTIFS(Engagements!$B$5:$B$106,$A33,Engagements!$D$5:$D$106,D$24,Engagements!$F$5:$F$106,'Weights &amp; Assumptions'!$A$11)/MAX(1,COUNTIFS(Engagements!$B$5:$B$106,$A33,Engagements!$F$5:$F$106,'Weights &amp; Assumptions'!$A$11))+'Weights &amp; Assumptions'!$B$6*(COUNTIFS(Engagements!$B$5:$B$106,$A33,Engagements!$F$5:$F$106,"Acquisition")=0)*(VLOOKUP($A33,Customers!$A$5:$F$16,6,FALSE)=D$24)</f>
        <v/>
      </c>
      <c r="E33" s="112">
        <f>'Weights &amp; Assumptions'!$B$6*COUNTIFS(Engagements!$B$5:$B$106,$A33,Engagements!$D$5:$D$106,E$24,Engagements!$F$5:$F$106,'Weights &amp; Assumptions'!$A$6)/MAX(1,COUNTIFS(Engagements!$B$5:$B$106,$A33,Engagements!$F$5:$F$106,'Weights &amp; Assumptions'!$A$6))+'Weights &amp; Assumptions'!$B$7*COUNTIFS(Engagements!$B$5:$B$106,$A33,Engagements!$D$5:$D$106,E$24,Engagements!$F$5:$F$106,'Weights &amp; Assumptions'!$A$7)/MAX(1,COUNTIFS(Engagements!$B$5:$B$106,$A33,Engagements!$F$5:$F$106,'Weights &amp; Assumptions'!$A$7))+'Weights &amp; Assumptions'!$B$8*COUNTIFS(Engagements!$B$5:$B$106,$A33,Engagements!$D$5:$D$106,E$24,Engagements!$F$5:$F$106,'Weights &amp; Assumptions'!$A$8)/MAX(1,COUNTIFS(Engagements!$B$5:$B$106,$A33,Engagements!$F$5:$F$106,'Weights &amp; Assumptions'!$A$8))+'Weights &amp; Assumptions'!$B$9*COUNTIFS(Engagements!$B$5:$B$106,$A33,Engagements!$D$5:$D$106,E$24,Engagements!$F$5:$F$106,'Weights &amp; Assumptions'!$A$9)/MAX(1,COUNTIFS(Engagements!$B$5:$B$106,$A33,Engagements!$F$5:$F$106,'Weights &amp; Assumptions'!$A$9))+'Weights &amp; Assumptions'!$B$10*COUNTIFS(Engagements!$B$5:$B$106,$A33,Engagements!$D$5:$D$106,E$24,Engagements!$F$5:$F$106,'Weights &amp; Assumptions'!$A$10)/MAX(1,COUNTIFS(Engagements!$B$5:$B$106,$A33,Engagements!$F$5:$F$106,'Weights &amp; Assumptions'!$A$10))+'Weights &amp; Assumptions'!$B$11*COUNTIFS(Engagements!$B$5:$B$106,$A33,Engagements!$D$5:$D$106,E$24,Engagements!$F$5:$F$106,'Weights &amp; Assumptions'!$A$11)/MAX(1,COUNTIFS(Engagements!$B$5:$B$106,$A33,Engagements!$F$5:$F$106,'Weights &amp; Assumptions'!$A$11))+'Weights &amp; Assumptions'!$B$6*(COUNTIFS(Engagements!$B$5:$B$106,$A33,Engagements!$F$5:$F$106,"Acquisition")=0)*(VLOOKUP($A33,Customers!$A$5:$F$16,6,FALSE)=E$24)</f>
        <v/>
      </c>
      <c r="F33" s="112">
        <f>'Weights &amp; Assumptions'!$B$6*COUNTIFS(Engagements!$B$5:$B$106,$A33,Engagements!$D$5:$D$106,F$24,Engagements!$F$5:$F$106,'Weights &amp; Assumptions'!$A$6)/MAX(1,COUNTIFS(Engagements!$B$5:$B$106,$A33,Engagements!$F$5:$F$106,'Weights &amp; Assumptions'!$A$6))+'Weights &amp; Assumptions'!$B$7*COUNTIFS(Engagements!$B$5:$B$106,$A33,Engagements!$D$5:$D$106,F$24,Engagements!$F$5:$F$106,'Weights &amp; Assumptions'!$A$7)/MAX(1,COUNTIFS(Engagements!$B$5:$B$106,$A33,Engagements!$F$5:$F$106,'Weights &amp; Assumptions'!$A$7))+'Weights &amp; Assumptions'!$B$8*COUNTIFS(Engagements!$B$5:$B$106,$A33,Engagements!$D$5:$D$106,F$24,Engagements!$F$5:$F$106,'Weights &amp; Assumptions'!$A$8)/MAX(1,COUNTIFS(Engagements!$B$5:$B$106,$A33,Engagements!$F$5:$F$106,'Weights &amp; Assumptions'!$A$8))+'Weights &amp; Assumptions'!$B$9*COUNTIFS(Engagements!$B$5:$B$106,$A33,Engagements!$D$5:$D$106,F$24,Engagements!$F$5:$F$106,'Weights &amp; Assumptions'!$A$9)/MAX(1,COUNTIFS(Engagements!$B$5:$B$106,$A33,Engagements!$F$5:$F$106,'Weights &amp; Assumptions'!$A$9))+'Weights &amp; Assumptions'!$B$10*COUNTIFS(Engagements!$B$5:$B$106,$A33,Engagements!$D$5:$D$106,F$24,Engagements!$F$5:$F$106,'Weights &amp; Assumptions'!$A$10)/MAX(1,COUNTIFS(Engagements!$B$5:$B$106,$A33,Engagements!$F$5:$F$106,'Weights &amp; Assumptions'!$A$10))+'Weights &amp; Assumptions'!$B$11*COUNTIFS(Engagements!$B$5:$B$106,$A33,Engagements!$D$5:$D$106,F$24,Engagements!$F$5:$F$106,'Weights &amp; Assumptions'!$A$11)/MAX(1,COUNTIFS(Engagements!$B$5:$B$106,$A33,Engagements!$F$5:$F$106,'Weights &amp; Assumptions'!$A$11))+'Weights &amp; Assumptions'!$B$6*(COUNTIFS(Engagements!$B$5:$B$106,$A33,Engagements!$F$5:$F$106,"Acquisition")=0)*(VLOOKUP($A33,Customers!$A$5:$F$16,6,FALSE)=F$24)</f>
        <v/>
      </c>
      <c r="G33" s="112">
        <f>'Weights &amp; Assumptions'!$B$6*COUNTIFS(Engagements!$B$5:$B$106,$A33,Engagements!$D$5:$D$106,G$24,Engagements!$F$5:$F$106,'Weights &amp; Assumptions'!$A$6)/MAX(1,COUNTIFS(Engagements!$B$5:$B$106,$A33,Engagements!$F$5:$F$106,'Weights &amp; Assumptions'!$A$6))+'Weights &amp; Assumptions'!$B$7*COUNTIFS(Engagements!$B$5:$B$106,$A33,Engagements!$D$5:$D$106,G$24,Engagements!$F$5:$F$106,'Weights &amp; Assumptions'!$A$7)/MAX(1,COUNTIFS(Engagements!$B$5:$B$106,$A33,Engagements!$F$5:$F$106,'Weights &amp; Assumptions'!$A$7))+'Weights &amp; Assumptions'!$B$8*COUNTIFS(Engagements!$B$5:$B$106,$A33,Engagements!$D$5:$D$106,G$24,Engagements!$F$5:$F$106,'Weights &amp; Assumptions'!$A$8)/MAX(1,COUNTIFS(Engagements!$B$5:$B$106,$A33,Engagements!$F$5:$F$106,'Weights &amp; Assumptions'!$A$8))+'Weights &amp; Assumptions'!$B$9*COUNTIFS(Engagements!$B$5:$B$106,$A33,Engagements!$D$5:$D$106,G$24,Engagements!$F$5:$F$106,'Weights &amp; Assumptions'!$A$9)/MAX(1,COUNTIFS(Engagements!$B$5:$B$106,$A33,Engagements!$F$5:$F$106,'Weights &amp; Assumptions'!$A$9))+'Weights &amp; Assumptions'!$B$10*COUNTIFS(Engagements!$B$5:$B$106,$A33,Engagements!$D$5:$D$106,G$24,Engagements!$F$5:$F$106,'Weights &amp; Assumptions'!$A$10)/MAX(1,COUNTIFS(Engagements!$B$5:$B$106,$A33,Engagements!$F$5:$F$106,'Weights &amp; Assumptions'!$A$10))+'Weights &amp; Assumptions'!$B$11*COUNTIFS(Engagements!$B$5:$B$106,$A33,Engagements!$D$5:$D$106,G$24,Engagements!$F$5:$F$106,'Weights &amp; Assumptions'!$A$11)/MAX(1,COUNTIFS(Engagements!$B$5:$B$106,$A33,Engagements!$F$5:$F$106,'Weights &amp; Assumptions'!$A$11))+'Weights &amp; Assumptions'!$B$6*(COUNTIFS(Engagements!$B$5:$B$106,$A33,Engagements!$F$5:$F$106,"Acquisition")=0)*(VLOOKUP($A33,Customers!$A$5:$F$16,6,FALSE)=G$24)</f>
        <v/>
      </c>
      <c r="H33" s="112">
        <f>'Weights &amp; Assumptions'!$B$6*COUNTIFS(Engagements!$B$5:$B$106,$A33,Engagements!$D$5:$D$106,H$24,Engagements!$F$5:$F$106,'Weights &amp; Assumptions'!$A$6)/MAX(1,COUNTIFS(Engagements!$B$5:$B$106,$A33,Engagements!$F$5:$F$106,'Weights &amp; Assumptions'!$A$6))+'Weights &amp; Assumptions'!$B$7*COUNTIFS(Engagements!$B$5:$B$106,$A33,Engagements!$D$5:$D$106,H$24,Engagements!$F$5:$F$106,'Weights &amp; Assumptions'!$A$7)/MAX(1,COUNTIFS(Engagements!$B$5:$B$106,$A33,Engagements!$F$5:$F$106,'Weights &amp; Assumptions'!$A$7))+'Weights &amp; Assumptions'!$B$8*COUNTIFS(Engagements!$B$5:$B$106,$A33,Engagements!$D$5:$D$106,H$24,Engagements!$F$5:$F$106,'Weights &amp; Assumptions'!$A$8)/MAX(1,COUNTIFS(Engagements!$B$5:$B$106,$A33,Engagements!$F$5:$F$106,'Weights &amp; Assumptions'!$A$8))+'Weights &amp; Assumptions'!$B$9*COUNTIFS(Engagements!$B$5:$B$106,$A33,Engagements!$D$5:$D$106,H$24,Engagements!$F$5:$F$106,'Weights &amp; Assumptions'!$A$9)/MAX(1,COUNTIFS(Engagements!$B$5:$B$106,$A33,Engagements!$F$5:$F$106,'Weights &amp; Assumptions'!$A$9))+'Weights &amp; Assumptions'!$B$10*COUNTIFS(Engagements!$B$5:$B$106,$A33,Engagements!$D$5:$D$106,H$24,Engagements!$F$5:$F$106,'Weights &amp; Assumptions'!$A$10)/MAX(1,COUNTIFS(Engagements!$B$5:$B$106,$A33,Engagements!$F$5:$F$106,'Weights &amp; Assumptions'!$A$10))+'Weights &amp; Assumptions'!$B$11*COUNTIFS(Engagements!$B$5:$B$106,$A33,Engagements!$D$5:$D$106,H$24,Engagements!$F$5:$F$106,'Weights &amp; Assumptions'!$A$11)/MAX(1,COUNTIFS(Engagements!$B$5:$B$106,$A33,Engagements!$F$5:$F$106,'Weights &amp; Assumptions'!$A$11))+'Weights &amp; Assumptions'!$B$6*(COUNTIFS(Engagements!$B$5:$B$106,$A33,Engagements!$F$5:$F$106,"Acquisition")=0)*(VLOOKUP($A33,Customers!$A$5:$F$16,6,FALSE)=H$24)</f>
        <v/>
      </c>
      <c r="I33" s="112">
        <f>'Weights &amp; Assumptions'!$B$6*COUNTIFS(Engagements!$B$5:$B$106,$A33,Engagements!$D$5:$D$106,I$24,Engagements!$F$5:$F$106,'Weights &amp; Assumptions'!$A$6)/MAX(1,COUNTIFS(Engagements!$B$5:$B$106,$A33,Engagements!$F$5:$F$106,'Weights &amp; Assumptions'!$A$6))+'Weights &amp; Assumptions'!$B$7*COUNTIFS(Engagements!$B$5:$B$106,$A33,Engagements!$D$5:$D$106,I$24,Engagements!$F$5:$F$106,'Weights &amp; Assumptions'!$A$7)/MAX(1,COUNTIFS(Engagements!$B$5:$B$106,$A33,Engagements!$F$5:$F$106,'Weights &amp; Assumptions'!$A$7))+'Weights &amp; Assumptions'!$B$8*COUNTIFS(Engagements!$B$5:$B$106,$A33,Engagements!$D$5:$D$106,I$24,Engagements!$F$5:$F$106,'Weights &amp; Assumptions'!$A$8)/MAX(1,COUNTIFS(Engagements!$B$5:$B$106,$A33,Engagements!$F$5:$F$106,'Weights &amp; Assumptions'!$A$8))+'Weights &amp; Assumptions'!$B$9*COUNTIFS(Engagements!$B$5:$B$106,$A33,Engagements!$D$5:$D$106,I$24,Engagements!$F$5:$F$106,'Weights &amp; Assumptions'!$A$9)/MAX(1,COUNTIFS(Engagements!$B$5:$B$106,$A33,Engagements!$F$5:$F$106,'Weights &amp; Assumptions'!$A$9))+'Weights &amp; Assumptions'!$B$10*COUNTIFS(Engagements!$B$5:$B$106,$A33,Engagements!$D$5:$D$106,I$24,Engagements!$F$5:$F$106,'Weights &amp; Assumptions'!$A$10)/MAX(1,COUNTIFS(Engagements!$B$5:$B$106,$A33,Engagements!$F$5:$F$106,'Weights &amp; Assumptions'!$A$10))+'Weights &amp; Assumptions'!$B$11*COUNTIFS(Engagements!$B$5:$B$106,$A33,Engagements!$D$5:$D$106,I$24,Engagements!$F$5:$F$106,'Weights &amp; Assumptions'!$A$11)/MAX(1,COUNTIFS(Engagements!$B$5:$B$106,$A33,Engagements!$F$5:$F$106,'Weights &amp; Assumptions'!$A$11))+'Weights &amp; Assumptions'!$B$6*(COUNTIFS(Engagements!$B$5:$B$106,$A33,Engagements!$F$5:$F$106,"Acquisition")=0)*(VLOOKUP($A33,Customers!$A$5:$F$16,6,FALSE)=I$24)</f>
        <v/>
      </c>
      <c r="J33" s="112">
        <f>'Weights &amp; Assumptions'!$B$6*COUNTIFS(Engagements!$B$5:$B$106,$A33,Engagements!$D$5:$D$106,J$24,Engagements!$F$5:$F$106,'Weights &amp; Assumptions'!$A$6)/MAX(1,COUNTIFS(Engagements!$B$5:$B$106,$A33,Engagements!$F$5:$F$106,'Weights &amp; Assumptions'!$A$6))+'Weights &amp; Assumptions'!$B$7*COUNTIFS(Engagements!$B$5:$B$106,$A33,Engagements!$D$5:$D$106,J$24,Engagements!$F$5:$F$106,'Weights &amp; Assumptions'!$A$7)/MAX(1,COUNTIFS(Engagements!$B$5:$B$106,$A33,Engagements!$F$5:$F$106,'Weights &amp; Assumptions'!$A$7))+'Weights &amp; Assumptions'!$B$8*COUNTIFS(Engagements!$B$5:$B$106,$A33,Engagements!$D$5:$D$106,J$24,Engagements!$F$5:$F$106,'Weights &amp; Assumptions'!$A$8)/MAX(1,COUNTIFS(Engagements!$B$5:$B$106,$A33,Engagements!$F$5:$F$106,'Weights &amp; Assumptions'!$A$8))+'Weights &amp; Assumptions'!$B$9*COUNTIFS(Engagements!$B$5:$B$106,$A33,Engagements!$D$5:$D$106,J$24,Engagements!$F$5:$F$106,'Weights &amp; Assumptions'!$A$9)/MAX(1,COUNTIFS(Engagements!$B$5:$B$106,$A33,Engagements!$F$5:$F$106,'Weights &amp; Assumptions'!$A$9))+'Weights &amp; Assumptions'!$B$10*COUNTIFS(Engagements!$B$5:$B$106,$A33,Engagements!$D$5:$D$106,J$24,Engagements!$F$5:$F$106,'Weights &amp; Assumptions'!$A$10)/MAX(1,COUNTIFS(Engagements!$B$5:$B$106,$A33,Engagements!$F$5:$F$106,'Weights &amp; Assumptions'!$A$10))+'Weights &amp; Assumptions'!$B$11*COUNTIFS(Engagements!$B$5:$B$106,$A33,Engagements!$D$5:$D$106,J$24,Engagements!$F$5:$F$106,'Weights &amp; Assumptions'!$A$11)/MAX(1,COUNTIFS(Engagements!$B$5:$B$106,$A33,Engagements!$F$5:$F$106,'Weights &amp; Assumptions'!$A$11))+'Weights &amp; Assumptions'!$B$6*(COUNTIFS(Engagements!$B$5:$B$106,$A33,Engagements!$F$5:$F$106,"Acquisition")=0)*(VLOOKUP($A33,Customers!$A$5:$F$16,6,FALSE)=J$24)</f>
        <v/>
      </c>
      <c r="K33" s="112">
        <f>'Weights &amp; Assumptions'!$B$6*COUNTIFS(Engagements!$B$5:$B$106,$A33,Engagements!$D$5:$D$106,K$24,Engagements!$F$5:$F$106,'Weights &amp; Assumptions'!$A$6)/MAX(1,COUNTIFS(Engagements!$B$5:$B$106,$A33,Engagements!$F$5:$F$106,'Weights &amp; Assumptions'!$A$6))+'Weights &amp; Assumptions'!$B$7*COUNTIFS(Engagements!$B$5:$B$106,$A33,Engagements!$D$5:$D$106,K$24,Engagements!$F$5:$F$106,'Weights &amp; Assumptions'!$A$7)/MAX(1,COUNTIFS(Engagements!$B$5:$B$106,$A33,Engagements!$F$5:$F$106,'Weights &amp; Assumptions'!$A$7))+'Weights &amp; Assumptions'!$B$8*COUNTIFS(Engagements!$B$5:$B$106,$A33,Engagements!$D$5:$D$106,K$24,Engagements!$F$5:$F$106,'Weights &amp; Assumptions'!$A$8)/MAX(1,COUNTIFS(Engagements!$B$5:$B$106,$A33,Engagements!$F$5:$F$106,'Weights &amp; Assumptions'!$A$8))+'Weights &amp; Assumptions'!$B$9*COUNTIFS(Engagements!$B$5:$B$106,$A33,Engagements!$D$5:$D$106,K$24,Engagements!$F$5:$F$106,'Weights &amp; Assumptions'!$A$9)/MAX(1,COUNTIFS(Engagements!$B$5:$B$106,$A33,Engagements!$F$5:$F$106,'Weights &amp; Assumptions'!$A$9))+'Weights &amp; Assumptions'!$B$10*COUNTIFS(Engagements!$B$5:$B$106,$A33,Engagements!$D$5:$D$106,K$24,Engagements!$F$5:$F$106,'Weights &amp; Assumptions'!$A$10)/MAX(1,COUNTIFS(Engagements!$B$5:$B$106,$A33,Engagements!$F$5:$F$106,'Weights &amp; Assumptions'!$A$10))+'Weights &amp; Assumptions'!$B$11*COUNTIFS(Engagements!$B$5:$B$106,$A33,Engagements!$D$5:$D$106,K$24,Engagements!$F$5:$F$106,'Weights &amp; Assumptions'!$A$11)/MAX(1,COUNTIFS(Engagements!$B$5:$B$106,$A33,Engagements!$F$5:$F$106,'Weights &amp; Assumptions'!$A$11))+'Weights &amp; Assumptions'!$B$6*(COUNTIFS(Engagements!$B$5:$B$106,$A33,Engagements!$F$5:$F$106,"Acquisition")=0)*(VLOOKUP($A33,Customers!$A$5:$F$16,6,FALSE)=K$24)</f>
        <v/>
      </c>
      <c r="L33" s="112">
        <f>'Weights &amp; Assumptions'!$B$6*COUNTIFS(Engagements!$B$5:$B$106,$A33,Engagements!$D$5:$D$106,L$24,Engagements!$F$5:$F$106,'Weights &amp; Assumptions'!$A$6)/MAX(1,COUNTIFS(Engagements!$B$5:$B$106,$A33,Engagements!$F$5:$F$106,'Weights &amp; Assumptions'!$A$6))+'Weights &amp; Assumptions'!$B$7*COUNTIFS(Engagements!$B$5:$B$106,$A33,Engagements!$D$5:$D$106,L$24,Engagements!$F$5:$F$106,'Weights &amp; Assumptions'!$A$7)/MAX(1,COUNTIFS(Engagements!$B$5:$B$106,$A33,Engagements!$F$5:$F$106,'Weights &amp; Assumptions'!$A$7))+'Weights &amp; Assumptions'!$B$8*COUNTIFS(Engagements!$B$5:$B$106,$A33,Engagements!$D$5:$D$106,L$24,Engagements!$F$5:$F$106,'Weights &amp; Assumptions'!$A$8)/MAX(1,COUNTIFS(Engagements!$B$5:$B$106,$A33,Engagements!$F$5:$F$106,'Weights &amp; Assumptions'!$A$8))+'Weights &amp; Assumptions'!$B$9*COUNTIFS(Engagements!$B$5:$B$106,$A33,Engagements!$D$5:$D$106,L$24,Engagements!$F$5:$F$106,'Weights &amp; Assumptions'!$A$9)/MAX(1,COUNTIFS(Engagements!$B$5:$B$106,$A33,Engagements!$F$5:$F$106,'Weights &amp; Assumptions'!$A$9))+'Weights &amp; Assumptions'!$B$10*COUNTIFS(Engagements!$B$5:$B$106,$A33,Engagements!$D$5:$D$106,L$24,Engagements!$F$5:$F$106,'Weights &amp; Assumptions'!$A$10)/MAX(1,COUNTIFS(Engagements!$B$5:$B$106,$A33,Engagements!$F$5:$F$106,'Weights &amp; Assumptions'!$A$10))+'Weights &amp; Assumptions'!$B$11*COUNTIFS(Engagements!$B$5:$B$106,$A33,Engagements!$D$5:$D$106,L$24,Engagements!$F$5:$F$106,'Weights &amp; Assumptions'!$A$11)/MAX(1,COUNTIFS(Engagements!$B$5:$B$106,$A33,Engagements!$F$5:$F$106,'Weights &amp; Assumptions'!$A$11))+'Weights &amp; Assumptions'!$B$6*(COUNTIFS(Engagements!$B$5:$B$106,$A33,Engagements!$F$5:$F$106,"Acquisition")=0)*(VLOOKUP($A33,Customers!$A$5:$F$16,6,FALSE)=L$24)</f>
        <v/>
      </c>
      <c r="M33" s="112">
        <f>'Weights &amp; Assumptions'!$B$6*COUNTIFS(Engagements!$B$5:$B$106,$A33,Engagements!$D$5:$D$106,M$24,Engagements!$F$5:$F$106,'Weights &amp; Assumptions'!$A$6)/MAX(1,COUNTIFS(Engagements!$B$5:$B$106,$A33,Engagements!$F$5:$F$106,'Weights &amp; Assumptions'!$A$6))+'Weights &amp; Assumptions'!$B$7*COUNTIFS(Engagements!$B$5:$B$106,$A33,Engagements!$D$5:$D$106,M$24,Engagements!$F$5:$F$106,'Weights &amp; Assumptions'!$A$7)/MAX(1,COUNTIFS(Engagements!$B$5:$B$106,$A33,Engagements!$F$5:$F$106,'Weights &amp; Assumptions'!$A$7))+'Weights &amp; Assumptions'!$B$8*COUNTIFS(Engagements!$B$5:$B$106,$A33,Engagements!$D$5:$D$106,M$24,Engagements!$F$5:$F$106,'Weights &amp; Assumptions'!$A$8)/MAX(1,COUNTIFS(Engagements!$B$5:$B$106,$A33,Engagements!$F$5:$F$106,'Weights &amp; Assumptions'!$A$8))+'Weights &amp; Assumptions'!$B$9*COUNTIFS(Engagements!$B$5:$B$106,$A33,Engagements!$D$5:$D$106,M$24,Engagements!$F$5:$F$106,'Weights &amp; Assumptions'!$A$9)/MAX(1,COUNTIFS(Engagements!$B$5:$B$106,$A33,Engagements!$F$5:$F$106,'Weights &amp; Assumptions'!$A$9))+'Weights &amp; Assumptions'!$B$10*COUNTIFS(Engagements!$B$5:$B$106,$A33,Engagements!$D$5:$D$106,M$24,Engagements!$F$5:$F$106,'Weights &amp; Assumptions'!$A$10)/MAX(1,COUNTIFS(Engagements!$B$5:$B$106,$A33,Engagements!$F$5:$F$106,'Weights &amp; Assumptions'!$A$10))+'Weights &amp; Assumptions'!$B$11*COUNTIFS(Engagements!$B$5:$B$106,$A33,Engagements!$D$5:$D$106,M$24,Engagements!$F$5:$F$106,'Weights &amp; Assumptions'!$A$11)/MAX(1,COUNTIFS(Engagements!$B$5:$B$106,$A33,Engagements!$F$5:$F$106,'Weights &amp; Assumptions'!$A$11))+'Weights &amp; Assumptions'!$B$6*(COUNTIFS(Engagements!$B$5:$B$106,$A33,Engagements!$F$5:$F$106,"Acquisition")=0)*(VLOOKUP($A33,Customers!$A$5:$F$16,6,FALSE)=M$24)</f>
        <v/>
      </c>
      <c r="N33" s="112">
        <f>'Weights &amp; Assumptions'!$B$6*COUNTIFS(Engagements!$B$5:$B$106,$A33,Engagements!$D$5:$D$106,N$24,Engagements!$F$5:$F$106,'Weights &amp; Assumptions'!$A$6)/MAX(1,COUNTIFS(Engagements!$B$5:$B$106,$A33,Engagements!$F$5:$F$106,'Weights &amp; Assumptions'!$A$6))+'Weights &amp; Assumptions'!$B$7*COUNTIFS(Engagements!$B$5:$B$106,$A33,Engagements!$D$5:$D$106,N$24,Engagements!$F$5:$F$106,'Weights &amp; Assumptions'!$A$7)/MAX(1,COUNTIFS(Engagements!$B$5:$B$106,$A33,Engagements!$F$5:$F$106,'Weights &amp; Assumptions'!$A$7))+'Weights &amp; Assumptions'!$B$8*COUNTIFS(Engagements!$B$5:$B$106,$A33,Engagements!$D$5:$D$106,N$24,Engagements!$F$5:$F$106,'Weights &amp; Assumptions'!$A$8)/MAX(1,COUNTIFS(Engagements!$B$5:$B$106,$A33,Engagements!$F$5:$F$106,'Weights &amp; Assumptions'!$A$8))+'Weights &amp; Assumptions'!$B$9*COUNTIFS(Engagements!$B$5:$B$106,$A33,Engagements!$D$5:$D$106,N$24,Engagements!$F$5:$F$106,'Weights &amp; Assumptions'!$A$9)/MAX(1,COUNTIFS(Engagements!$B$5:$B$106,$A33,Engagements!$F$5:$F$106,'Weights &amp; Assumptions'!$A$9))+'Weights &amp; Assumptions'!$B$10*COUNTIFS(Engagements!$B$5:$B$106,$A33,Engagements!$D$5:$D$106,N$24,Engagements!$F$5:$F$106,'Weights &amp; Assumptions'!$A$10)/MAX(1,COUNTIFS(Engagements!$B$5:$B$106,$A33,Engagements!$F$5:$F$106,'Weights &amp; Assumptions'!$A$10))+'Weights &amp; Assumptions'!$B$11*COUNTIFS(Engagements!$B$5:$B$106,$A33,Engagements!$D$5:$D$106,N$24,Engagements!$F$5:$F$106,'Weights &amp; Assumptions'!$A$11)/MAX(1,COUNTIFS(Engagements!$B$5:$B$106,$A33,Engagements!$F$5:$F$106,'Weights &amp; Assumptions'!$A$11))+'Weights &amp; Assumptions'!$B$6*(COUNTIFS(Engagements!$B$5:$B$106,$A33,Engagements!$F$5:$F$106,"Acquisition")=0)*(VLOOKUP($A33,Customers!$A$5:$F$16,6,FALSE)=N$24)</f>
        <v/>
      </c>
      <c r="O33" s="76">
        <f>ROUND(SUM(C33:N33),1)</f>
        <v/>
      </c>
      <c r="P33" s="76">
        <f>ROUND('Weights &amp; Assumptions'!$B$12-O33,1)</f>
        <v/>
      </c>
    </row>
    <row r="34">
      <c r="A34" s="73">
        <f>Customers!A14</f>
        <v/>
      </c>
      <c r="B34" s="73">
        <f>Customers!B14</f>
        <v/>
      </c>
      <c r="C34" s="112">
        <f>'Weights &amp; Assumptions'!$B$6*COUNTIFS(Engagements!$B$5:$B$106,$A34,Engagements!$D$5:$D$106,C$24,Engagements!$F$5:$F$106,'Weights &amp; Assumptions'!$A$6)/MAX(1,COUNTIFS(Engagements!$B$5:$B$106,$A34,Engagements!$F$5:$F$106,'Weights &amp; Assumptions'!$A$6))+'Weights &amp; Assumptions'!$B$7*COUNTIFS(Engagements!$B$5:$B$106,$A34,Engagements!$D$5:$D$106,C$24,Engagements!$F$5:$F$106,'Weights &amp; Assumptions'!$A$7)/MAX(1,COUNTIFS(Engagements!$B$5:$B$106,$A34,Engagements!$F$5:$F$106,'Weights &amp; Assumptions'!$A$7))+'Weights &amp; Assumptions'!$B$8*COUNTIFS(Engagements!$B$5:$B$106,$A34,Engagements!$D$5:$D$106,C$24,Engagements!$F$5:$F$106,'Weights &amp; Assumptions'!$A$8)/MAX(1,COUNTIFS(Engagements!$B$5:$B$106,$A34,Engagements!$F$5:$F$106,'Weights &amp; Assumptions'!$A$8))+'Weights &amp; Assumptions'!$B$9*COUNTIFS(Engagements!$B$5:$B$106,$A34,Engagements!$D$5:$D$106,C$24,Engagements!$F$5:$F$106,'Weights &amp; Assumptions'!$A$9)/MAX(1,COUNTIFS(Engagements!$B$5:$B$106,$A34,Engagements!$F$5:$F$106,'Weights &amp; Assumptions'!$A$9))+'Weights &amp; Assumptions'!$B$10*COUNTIFS(Engagements!$B$5:$B$106,$A34,Engagements!$D$5:$D$106,C$24,Engagements!$F$5:$F$106,'Weights &amp; Assumptions'!$A$10)/MAX(1,COUNTIFS(Engagements!$B$5:$B$106,$A34,Engagements!$F$5:$F$106,'Weights &amp; Assumptions'!$A$10))+'Weights &amp; Assumptions'!$B$11*COUNTIFS(Engagements!$B$5:$B$106,$A34,Engagements!$D$5:$D$106,C$24,Engagements!$F$5:$F$106,'Weights &amp; Assumptions'!$A$11)/MAX(1,COUNTIFS(Engagements!$B$5:$B$106,$A34,Engagements!$F$5:$F$106,'Weights &amp; Assumptions'!$A$11))+'Weights &amp; Assumptions'!$B$6*(COUNTIFS(Engagements!$B$5:$B$106,$A34,Engagements!$F$5:$F$106,"Acquisition")=0)*(VLOOKUP($A34,Customers!$A$5:$F$16,6,FALSE)=C$24)</f>
        <v/>
      </c>
      <c r="D34" s="112">
        <f>'Weights &amp; Assumptions'!$B$6*COUNTIFS(Engagements!$B$5:$B$106,$A34,Engagements!$D$5:$D$106,D$24,Engagements!$F$5:$F$106,'Weights &amp; Assumptions'!$A$6)/MAX(1,COUNTIFS(Engagements!$B$5:$B$106,$A34,Engagements!$F$5:$F$106,'Weights &amp; Assumptions'!$A$6))+'Weights &amp; Assumptions'!$B$7*COUNTIFS(Engagements!$B$5:$B$106,$A34,Engagements!$D$5:$D$106,D$24,Engagements!$F$5:$F$106,'Weights &amp; Assumptions'!$A$7)/MAX(1,COUNTIFS(Engagements!$B$5:$B$106,$A34,Engagements!$F$5:$F$106,'Weights &amp; Assumptions'!$A$7))+'Weights &amp; Assumptions'!$B$8*COUNTIFS(Engagements!$B$5:$B$106,$A34,Engagements!$D$5:$D$106,D$24,Engagements!$F$5:$F$106,'Weights &amp; Assumptions'!$A$8)/MAX(1,COUNTIFS(Engagements!$B$5:$B$106,$A34,Engagements!$F$5:$F$106,'Weights &amp; Assumptions'!$A$8))+'Weights &amp; Assumptions'!$B$9*COUNTIFS(Engagements!$B$5:$B$106,$A34,Engagements!$D$5:$D$106,D$24,Engagements!$F$5:$F$106,'Weights &amp; Assumptions'!$A$9)/MAX(1,COUNTIFS(Engagements!$B$5:$B$106,$A34,Engagements!$F$5:$F$106,'Weights &amp; Assumptions'!$A$9))+'Weights &amp; Assumptions'!$B$10*COUNTIFS(Engagements!$B$5:$B$106,$A34,Engagements!$D$5:$D$106,D$24,Engagements!$F$5:$F$106,'Weights &amp; Assumptions'!$A$10)/MAX(1,COUNTIFS(Engagements!$B$5:$B$106,$A34,Engagements!$F$5:$F$106,'Weights &amp; Assumptions'!$A$10))+'Weights &amp; Assumptions'!$B$11*COUNTIFS(Engagements!$B$5:$B$106,$A34,Engagements!$D$5:$D$106,D$24,Engagements!$F$5:$F$106,'Weights &amp; Assumptions'!$A$11)/MAX(1,COUNTIFS(Engagements!$B$5:$B$106,$A34,Engagements!$F$5:$F$106,'Weights &amp; Assumptions'!$A$11))+'Weights &amp; Assumptions'!$B$6*(COUNTIFS(Engagements!$B$5:$B$106,$A34,Engagements!$F$5:$F$106,"Acquisition")=0)*(VLOOKUP($A34,Customers!$A$5:$F$16,6,FALSE)=D$24)</f>
        <v/>
      </c>
      <c r="E34" s="112">
        <f>'Weights &amp; Assumptions'!$B$6*COUNTIFS(Engagements!$B$5:$B$106,$A34,Engagements!$D$5:$D$106,E$24,Engagements!$F$5:$F$106,'Weights &amp; Assumptions'!$A$6)/MAX(1,COUNTIFS(Engagements!$B$5:$B$106,$A34,Engagements!$F$5:$F$106,'Weights &amp; Assumptions'!$A$6))+'Weights &amp; Assumptions'!$B$7*COUNTIFS(Engagements!$B$5:$B$106,$A34,Engagements!$D$5:$D$106,E$24,Engagements!$F$5:$F$106,'Weights &amp; Assumptions'!$A$7)/MAX(1,COUNTIFS(Engagements!$B$5:$B$106,$A34,Engagements!$F$5:$F$106,'Weights &amp; Assumptions'!$A$7))+'Weights &amp; Assumptions'!$B$8*COUNTIFS(Engagements!$B$5:$B$106,$A34,Engagements!$D$5:$D$106,E$24,Engagements!$F$5:$F$106,'Weights &amp; Assumptions'!$A$8)/MAX(1,COUNTIFS(Engagements!$B$5:$B$106,$A34,Engagements!$F$5:$F$106,'Weights &amp; Assumptions'!$A$8))+'Weights &amp; Assumptions'!$B$9*COUNTIFS(Engagements!$B$5:$B$106,$A34,Engagements!$D$5:$D$106,E$24,Engagements!$F$5:$F$106,'Weights &amp; Assumptions'!$A$9)/MAX(1,COUNTIFS(Engagements!$B$5:$B$106,$A34,Engagements!$F$5:$F$106,'Weights &amp; Assumptions'!$A$9))+'Weights &amp; Assumptions'!$B$10*COUNTIFS(Engagements!$B$5:$B$106,$A34,Engagements!$D$5:$D$106,E$24,Engagements!$F$5:$F$106,'Weights &amp; Assumptions'!$A$10)/MAX(1,COUNTIFS(Engagements!$B$5:$B$106,$A34,Engagements!$F$5:$F$106,'Weights &amp; Assumptions'!$A$10))+'Weights &amp; Assumptions'!$B$11*COUNTIFS(Engagements!$B$5:$B$106,$A34,Engagements!$D$5:$D$106,E$24,Engagements!$F$5:$F$106,'Weights &amp; Assumptions'!$A$11)/MAX(1,COUNTIFS(Engagements!$B$5:$B$106,$A34,Engagements!$F$5:$F$106,'Weights &amp; Assumptions'!$A$11))+'Weights &amp; Assumptions'!$B$6*(COUNTIFS(Engagements!$B$5:$B$106,$A34,Engagements!$F$5:$F$106,"Acquisition")=0)*(VLOOKUP($A34,Customers!$A$5:$F$16,6,FALSE)=E$24)</f>
        <v/>
      </c>
      <c r="F34" s="112">
        <f>'Weights &amp; Assumptions'!$B$6*COUNTIFS(Engagements!$B$5:$B$106,$A34,Engagements!$D$5:$D$106,F$24,Engagements!$F$5:$F$106,'Weights &amp; Assumptions'!$A$6)/MAX(1,COUNTIFS(Engagements!$B$5:$B$106,$A34,Engagements!$F$5:$F$106,'Weights &amp; Assumptions'!$A$6))+'Weights &amp; Assumptions'!$B$7*COUNTIFS(Engagements!$B$5:$B$106,$A34,Engagements!$D$5:$D$106,F$24,Engagements!$F$5:$F$106,'Weights &amp; Assumptions'!$A$7)/MAX(1,COUNTIFS(Engagements!$B$5:$B$106,$A34,Engagements!$F$5:$F$106,'Weights &amp; Assumptions'!$A$7))+'Weights &amp; Assumptions'!$B$8*COUNTIFS(Engagements!$B$5:$B$106,$A34,Engagements!$D$5:$D$106,F$24,Engagements!$F$5:$F$106,'Weights &amp; Assumptions'!$A$8)/MAX(1,COUNTIFS(Engagements!$B$5:$B$106,$A34,Engagements!$F$5:$F$106,'Weights &amp; Assumptions'!$A$8))+'Weights &amp; Assumptions'!$B$9*COUNTIFS(Engagements!$B$5:$B$106,$A34,Engagements!$D$5:$D$106,F$24,Engagements!$F$5:$F$106,'Weights &amp; Assumptions'!$A$9)/MAX(1,COUNTIFS(Engagements!$B$5:$B$106,$A34,Engagements!$F$5:$F$106,'Weights &amp; Assumptions'!$A$9))+'Weights &amp; Assumptions'!$B$10*COUNTIFS(Engagements!$B$5:$B$106,$A34,Engagements!$D$5:$D$106,F$24,Engagements!$F$5:$F$106,'Weights &amp; Assumptions'!$A$10)/MAX(1,COUNTIFS(Engagements!$B$5:$B$106,$A34,Engagements!$F$5:$F$106,'Weights &amp; Assumptions'!$A$10))+'Weights &amp; Assumptions'!$B$11*COUNTIFS(Engagements!$B$5:$B$106,$A34,Engagements!$D$5:$D$106,F$24,Engagements!$F$5:$F$106,'Weights &amp; Assumptions'!$A$11)/MAX(1,COUNTIFS(Engagements!$B$5:$B$106,$A34,Engagements!$F$5:$F$106,'Weights &amp; Assumptions'!$A$11))+'Weights &amp; Assumptions'!$B$6*(COUNTIFS(Engagements!$B$5:$B$106,$A34,Engagements!$F$5:$F$106,"Acquisition")=0)*(VLOOKUP($A34,Customers!$A$5:$F$16,6,FALSE)=F$24)</f>
        <v/>
      </c>
      <c r="G34" s="112">
        <f>'Weights &amp; Assumptions'!$B$6*COUNTIFS(Engagements!$B$5:$B$106,$A34,Engagements!$D$5:$D$106,G$24,Engagements!$F$5:$F$106,'Weights &amp; Assumptions'!$A$6)/MAX(1,COUNTIFS(Engagements!$B$5:$B$106,$A34,Engagements!$F$5:$F$106,'Weights &amp; Assumptions'!$A$6))+'Weights &amp; Assumptions'!$B$7*COUNTIFS(Engagements!$B$5:$B$106,$A34,Engagements!$D$5:$D$106,G$24,Engagements!$F$5:$F$106,'Weights &amp; Assumptions'!$A$7)/MAX(1,COUNTIFS(Engagements!$B$5:$B$106,$A34,Engagements!$F$5:$F$106,'Weights &amp; Assumptions'!$A$7))+'Weights &amp; Assumptions'!$B$8*COUNTIFS(Engagements!$B$5:$B$106,$A34,Engagements!$D$5:$D$106,G$24,Engagements!$F$5:$F$106,'Weights &amp; Assumptions'!$A$8)/MAX(1,COUNTIFS(Engagements!$B$5:$B$106,$A34,Engagements!$F$5:$F$106,'Weights &amp; Assumptions'!$A$8))+'Weights &amp; Assumptions'!$B$9*COUNTIFS(Engagements!$B$5:$B$106,$A34,Engagements!$D$5:$D$106,G$24,Engagements!$F$5:$F$106,'Weights &amp; Assumptions'!$A$9)/MAX(1,COUNTIFS(Engagements!$B$5:$B$106,$A34,Engagements!$F$5:$F$106,'Weights &amp; Assumptions'!$A$9))+'Weights &amp; Assumptions'!$B$10*COUNTIFS(Engagements!$B$5:$B$106,$A34,Engagements!$D$5:$D$106,G$24,Engagements!$F$5:$F$106,'Weights &amp; Assumptions'!$A$10)/MAX(1,COUNTIFS(Engagements!$B$5:$B$106,$A34,Engagements!$F$5:$F$106,'Weights &amp; Assumptions'!$A$10))+'Weights &amp; Assumptions'!$B$11*COUNTIFS(Engagements!$B$5:$B$106,$A34,Engagements!$D$5:$D$106,G$24,Engagements!$F$5:$F$106,'Weights &amp; Assumptions'!$A$11)/MAX(1,COUNTIFS(Engagements!$B$5:$B$106,$A34,Engagements!$F$5:$F$106,'Weights &amp; Assumptions'!$A$11))+'Weights &amp; Assumptions'!$B$6*(COUNTIFS(Engagements!$B$5:$B$106,$A34,Engagements!$F$5:$F$106,"Acquisition")=0)*(VLOOKUP($A34,Customers!$A$5:$F$16,6,FALSE)=G$24)</f>
        <v/>
      </c>
      <c r="H34" s="112">
        <f>'Weights &amp; Assumptions'!$B$6*COUNTIFS(Engagements!$B$5:$B$106,$A34,Engagements!$D$5:$D$106,H$24,Engagements!$F$5:$F$106,'Weights &amp; Assumptions'!$A$6)/MAX(1,COUNTIFS(Engagements!$B$5:$B$106,$A34,Engagements!$F$5:$F$106,'Weights &amp; Assumptions'!$A$6))+'Weights &amp; Assumptions'!$B$7*COUNTIFS(Engagements!$B$5:$B$106,$A34,Engagements!$D$5:$D$106,H$24,Engagements!$F$5:$F$106,'Weights &amp; Assumptions'!$A$7)/MAX(1,COUNTIFS(Engagements!$B$5:$B$106,$A34,Engagements!$F$5:$F$106,'Weights &amp; Assumptions'!$A$7))+'Weights &amp; Assumptions'!$B$8*COUNTIFS(Engagements!$B$5:$B$106,$A34,Engagements!$D$5:$D$106,H$24,Engagements!$F$5:$F$106,'Weights &amp; Assumptions'!$A$8)/MAX(1,COUNTIFS(Engagements!$B$5:$B$106,$A34,Engagements!$F$5:$F$106,'Weights &amp; Assumptions'!$A$8))+'Weights &amp; Assumptions'!$B$9*COUNTIFS(Engagements!$B$5:$B$106,$A34,Engagements!$D$5:$D$106,H$24,Engagements!$F$5:$F$106,'Weights &amp; Assumptions'!$A$9)/MAX(1,COUNTIFS(Engagements!$B$5:$B$106,$A34,Engagements!$F$5:$F$106,'Weights &amp; Assumptions'!$A$9))+'Weights &amp; Assumptions'!$B$10*COUNTIFS(Engagements!$B$5:$B$106,$A34,Engagements!$D$5:$D$106,H$24,Engagements!$F$5:$F$106,'Weights &amp; Assumptions'!$A$10)/MAX(1,COUNTIFS(Engagements!$B$5:$B$106,$A34,Engagements!$F$5:$F$106,'Weights &amp; Assumptions'!$A$10))+'Weights &amp; Assumptions'!$B$11*COUNTIFS(Engagements!$B$5:$B$106,$A34,Engagements!$D$5:$D$106,H$24,Engagements!$F$5:$F$106,'Weights &amp; Assumptions'!$A$11)/MAX(1,COUNTIFS(Engagements!$B$5:$B$106,$A34,Engagements!$F$5:$F$106,'Weights &amp; Assumptions'!$A$11))+'Weights &amp; Assumptions'!$B$6*(COUNTIFS(Engagements!$B$5:$B$106,$A34,Engagements!$F$5:$F$106,"Acquisition")=0)*(VLOOKUP($A34,Customers!$A$5:$F$16,6,FALSE)=H$24)</f>
        <v/>
      </c>
      <c r="I34" s="112">
        <f>'Weights &amp; Assumptions'!$B$6*COUNTIFS(Engagements!$B$5:$B$106,$A34,Engagements!$D$5:$D$106,I$24,Engagements!$F$5:$F$106,'Weights &amp; Assumptions'!$A$6)/MAX(1,COUNTIFS(Engagements!$B$5:$B$106,$A34,Engagements!$F$5:$F$106,'Weights &amp; Assumptions'!$A$6))+'Weights &amp; Assumptions'!$B$7*COUNTIFS(Engagements!$B$5:$B$106,$A34,Engagements!$D$5:$D$106,I$24,Engagements!$F$5:$F$106,'Weights &amp; Assumptions'!$A$7)/MAX(1,COUNTIFS(Engagements!$B$5:$B$106,$A34,Engagements!$F$5:$F$106,'Weights &amp; Assumptions'!$A$7))+'Weights &amp; Assumptions'!$B$8*COUNTIFS(Engagements!$B$5:$B$106,$A34,Engagements!$D$5:$D$106,I$24,Engagements!$F$5:$F$106,'Weights &amp; Assumptions'!$A$8)/MAX(1,COUNTIFS(Engagements!$B$5:$B$106,$A34,Engagements!$F$5:$F$106,'Weights &amp; Assumptions'!$A$8))+'Weights &amp; Assumptions'!$B$9*COUNTIFS(Engagements!$B$5:$B$106,$A34,Engagements!$D$5:$D$106,I$24,Engagements!$F$5:$F$106,'Weights &amp; Assumptions'!$A$9)/MAX(1,COUNTIFS(Engagements!$B$5:$B$106,$A34,Engagements!$F$5:$F$106,'Weights &amp; Assumptions'!$A$9))+'Weights &amp; Assumptions'!$B$10*COUNTIFS(Engagements!$B$5:$B$106,$A34,Engagements!$D$5:$D$106,I$24,Engagements!$F$5:$F$106,'Weights &amp; Assumptions'!$A$10)/MAX(1,COUNTIFS(Engagements!$B$5:$B$106,$A34,Engagements!$F$5:$F$106,'Weights &amp; Assumptions'!$A$10))+'Weights &amp; Assumptions'!$B$11*COUNTIFS(Engagements!$B$5:$B$106,$A34,Engagements!$D$5:$D$106,I$24,Engagements!$F$5:$F$106,'Weights &amp; Assumptions'!$A$11)/MAX(1,COUNTIFS(Engagements!$B$5:$B$106,$A34,Engagements!$F$5:$F$106,'Weights &amp; Assumptions'!$A$11))+'Weights &amp; Assumptions'!$B$6*(COUNTIFS(Engagements!$B$5:$B$106,$A34,Engagements!$F$5:$F$106,"Acquisition")=0)*(VLOOKUP($A34,Customers!$A$5:$F$16,6,FALSE)=I$24)</f>
        <v/>
      </c>
      <c r="J34" s="112">
        <f>'Weights &amp; Assumptions'!$B$6*COUNTIFS(Engagements!$B$5:$B$106,$A34,Engagements!$D$5:$D$106,J$24,Engagements!$F$5:$F$106,'Weights &amp; Assumptions'!$A$6)/MAX(1,COUNTIFS(Engagements!$B$5:$B$106,$A34,Engagements!$F$5:$F$106,'Weights &amp; Assumptions'!$A$6))+'Weights &amp; Assumptions'!$B$7*COUNTIFS(Engagements!$B$5:$B$106,$A34,Engagements!$D$5:$D$106,J$24,Engagements!$F$5:$F$106,'Weights &amp; Assumptions'!$A$7)/MAX(1,COUNTIFS(Engagements!$B$5:$B$106,$A34,Engagements!$F$5:$F$106,'Weights &amp; Assumptions'!$A$7))+'Weights &amp; Assumptions'!$B$8*COUNTIFS(Engagements!$B$5:$B$106,$A34,Engagements!$D$5:$D$106,J$24,Engagements!$F$5:$F$106,'Weights &amp; Assumptions'!$A$8)/MAX(1,COUNTIFS(Engagements!$B$5:$B$106,$A34,Engagements!$F$5:$F$106,'Weights &amp; Assumptions'!$A$8))+'Weights &amp; Assumptions'!$B$9*COUNTIFS(Engagements!$B$5:$B$106,$A34,Engagements!$D$5:$D$106,J$24,Engagements!$F$5:$F$106,'Weights &amp; Assumptions'!$A$9)/MAX(1,COUNTIFS(Engagements!$B$5:$B$106,$A34,Engagements!$F$5:$F$106,'Weights &amp; Assumptions'!$A$9))+'Weights &amp; Assumptions'!$B$10*COUNTIFS(Engagements!$B$5:$B$106,$A34,Engagements!$D$5:$D$106,J$24,Engagements!$F$5:$F$106,'Weights &amp; Assumptions'!$A$10)/MAX(1,COUNTIFS(Engagements!$B$5:$B$106,$A34,Engagements!$F$5:$F$106,'Weights &amp; Assumptions'!$A$10))+'Weights &amp; Assumptions'!$B$11*COUNTIFS(Engagements!$B$5:$B$106,$A34,Engagements!$D$5:$D$106,J$24,Engagements!$F$5:$F$106,'Weights &amp; Assumptions'!$A$11)/MAX(1,COUNTIFS(Engagements!$B$5:$B$106,$A34,Engagements!$F$5:$F$106,'Weights &amp; Assumptions'!$A$11))+'Weights &amp; Assumptions'!$B$6*(COUNTIFS(Engagements!$B$5:$B$106,$A34,Engagements!$F$5:$F$106,"Acquisition")=0)*(VLOOKUP($A34,Customers!$A$5:$F$16,6,FALSE)=J$24)</f>
        <v/>
      </c>
      <c r="K34" s="112">
        <f>'Weights &amp; Assumptions'!$B$6*COUNTIFS(Engagements!$B$5:$B$106,$A34,Engagements!$D$5:$D$106,K$24,Engagements!$F$5:$F$106,'Weights &amp; Assumptions'!$A$6)/MAX(1,COUNTIFS(Engagements!$B$5:$B$106,$A34,Engagements!$F$5:$F$106,'Weights &amp; Assumptions'!$A$6))+'Weights &amp; Assumptions'!$B$7*COUNTIFS(Engagements!$B$5:$B$106,$A34,Engagements!$D$5:$D$106,K$24,Engagements!$F$5:$F$106,'Weights &amp; Assumptions'!$A$7)/MAX(1,COUNTIFS(Engagements!$B$5:$B$106,$A34,Engagements!$F$5:$F$106,'Weights &amp; Assumptions'!$A$7))+'Weights &amp; Assumptions'!$B$8*COUNTIFS(Engagements!$B$5:$B$106,$A34,Engagements!$D$5:$D$106,K$24,Engagements!$F$5:$F$106,'Weights &amp; Assumptions'!$A$8)/MAX(1,COUNTIFS(Engagements!$B$5:$B$106,$A34,Engagements!$F$5:$F$106,'Weights &amp; Assumptions'!$A$8))+'Weights &amp; Assumptions'!$B$9*COUNTIFS(Engagements!$B$5:$B$106,$A34,Engagements!$D$5:$D$106,K$24,Engagements!$F$5:$F$106,'Weights &amp; Assumptions'!$A$9)/MAX(1,COUNTIFS(Engagements!$B$5:$B$106,$A34,Engagements!$F$5:$F$106,'Weights &amp; Assumptions'!$A$9))+'Weights &amp; Assumptions'!$B$10*COUNTIFS(Engagements!$B$5:$B$106,$A34,Engagements!$D$5:$D$106,K$24,Engagements!$F$5:$F$106,'Weights &amp; Assumptions'!$A$10)/MAX(1,COUNTIFS(Engagements!$B$5:$B$106,$A34,Engagements!$F$5:$F$106,'Weights &amp; Assumptions'!$A$10))+'Weights &amp; Assumptions'!$B$11*COUNTIFS(Engagements!$B$5:$B$106,$A34,Engagements!$D$5:$D$106,K$24,Engagements!$F$5:$F$106,'Weights &amp; Assumptions'!$A$11)/MAX(1,COUNTIFS(Engagements!$B$5:$B$106,$A34,Engagements!$F$5:$F$106,'Weights &amp; Assumptions'!$A$11))+'Weights &amp; Assumptions'!$B$6*(COUNTIFS(Engagements!$B$5:$B$106,$A34,Engagements!$F$5:$F$106,"Acquisition")=0)*(VLOOKUP($A34,Customers!$A$5:$F$16,6,FALSE)=K$24)</f>
        <v/>
      </c>
      <c r="L34" s="112">
        <f>'Weights &amp; Assumptions'!$B$6*COUNTIFS(Engagements!$B$5:$B$106,$A34,Engagements!$D$5:$D$106,L$24,Engagements!$F$5:$F$106,'Weights &amp; Assumptions'!$A$6)/MAX(1,COUNTIFS(Engagements!$B$5:$B$106,$A34,Engagements!$F$5:$F$106,'Weights &amp; Assumptions'!$A$6))+'Weights &amp; Assumptions'!$B$7*COUNTIFS(Engagements!$B$5:$B$106,$A34,Engagements!$D$5:$D$106,L$24,Engagements!$F$5:$F$106,'Weights &amp; Assumptions'!$A$7)/MAX(1,COUNTIFS(Engagements!$B$5:$B$106,$A34,Engagements!$F$5:$F$106,'Weights &amp; Assumptions'!$A$7))+'Weights &amp; Assumptions'!$B$8*COUNTIFS(Engagements!$B$5:$B$106,$A34,Engagements!$D$5:$D$106,L$24,Engagements!$F$5:$F$106,'Weights &amp; Assumptions'!$A$8)/MAX(1,COUNTIFS(Engagements!$B$5:$B$106,$A34,Engagements!$F$5:$F$106,'Weights &amp; Assumptions'!$A$8))+'Weights &amp; Assumptions'!$B$9*COUNTIFS(Engagements!$B$5:$B$106,$A34,Engagements!$D$5:$D$106,L$24,Engagements!$F$5:$F$106,'Weights &amp; Assumptions'!$A$9)/MAX(1,COUNTIFS(Engagements!$B$5:$B$106,$A34,Engagements!$F$5:$F$106,'Weights &amp; Assumptions'!$A$9))+'Weights &amp; Assumptions'!$B$10*COUNTIFS(Engagements!$B$5:$B$106,$A34,Engagements!$D$5:$D$106,L$24,Engagements!$F$5:$F$106,'Weights &amp; Assumptions'!$A$10)/MAX(1,COUNTIFS(Engagements!$B$5:$B$106,$A34,Engagements!$F$5:$F$106,'Weights &amp; Assumptions'!$A$10))+'Weights &amp; Assumptions'!$B$11*COUNTIFS(Engagements!$B$5:$B$106,$A34,Engagements!$D$5:$D$106,L$24,Engagements!$F$5:$F$106,'Weights &amp; Assumptions'!$A$11)/MAX(1,COUNTIFS(Engagements!$B$5:$B$106,$A34,Engagements!$F$5:$F$106,'Weights &amp; Assumptions'!$A$11))+'Weights &amp; Assumptions'!$B$6*(COUNTIFS(Engagements!$B$5:$B$106,$A34,Engagements!$F$5:$F$106,"Acquisition")=0)*(VLOOKUP($A34,Customers!$A$5:$F$16,6,FALSE)=L$24)</f>
        <v/>
      </c>
      <c r="M34" s="112">
        <f>'Weights &amp; Assumptions'!$B$6*COUNTIFS(Engagements!$B$5:$B$106,$A34,Engagements!$D$5:$D$106,M$24,Engagements!$F$5:$F$106,'Weights &amp; Assumptions'!$A$6)/MAX(1,COUNTIFS(Engagements!$B$5:$B$106,$A34,Engagements!$F$5:$F$106,'Weights &amp; Assumptions'!$A$6))+'Weights &amp; Assumptions'!$B$7*COUNTIFS(Engagements!$B$5:$B$106,$A34,Engagements!$D$5:$D$106,M$24,Engagements!$F$5:$F$106,'Weights &amp; Assumptions'!$A$7)/MAX(1,COUNTIFS(Engagements!$B$5:$B$106,$A34,Engagements!$F$5:$F$106,'Weights &amp; Assumptions'!$A$7))+'Weights &amp; Assumptions'!$B$8*COUNTIFS(Engagements!$B$5:$B$106,$A34,Engagements!$D$5:$D$106,M$24,Engagements!$F$5:$F$106,'Weights &amp; Assumptions'!$A$8)/MAX(1,COUNTIFS(Engagements!$B$5:$B$106,$A34,Engagements!$F$5:$F$106,'Weights &amp; Assumptions'!$A$8))+'Weights &amp; Assumptions'!$B$9*COUNTIFS(Engagements!$B$5:$B$106,$A34,Engagements!$D$5:$D$106,M$24,Engagements!$F$5:$F$106,'Weights &amp; Assumptions'!$A$9)/MAX(1,COUNTIFS(Engagements!$B$5:$B$106,$A34,Engagements!$F$5:$F$106,'Weights &amp; Assumptions'!$A$9))+'Weights &amp; Assumptions'!$B$10*COUNTIFS(Engagements!$B$5:$B$106,$A34,Engagements!$D$5:$D$106,M$24,Engagements!$F$5:$F$106,'Weights &amp; Assumptions'!$A$10)/MAX(1,COUNTIFS(Engagements!$B$5:$B$106,$A34,Engagements!$F$5:$F$106,'Weights &amp; Assumptions'!$A$10))+'Weights &amp; Assumptions'!$B$11*COUNTIFS(Engagements!$B$5:$B$106,$A34,Engagements!$D$5:$D$106,M$24,Engagements!$F$5:$F$106,'Weights &amp; Assumptions'!$A$11)/MAX(1,COUNTIFS(Engagements!$B$5:$B$106,$A34,Engagements!$F$5:$F$106,'Weights &amp; Assumptions'!$A$11))+'Weights &amp; Assumptions'!$B$6*(COUNTIFS(Engagements!$B$5:$B$106,$A34,Engagements!$F$5:$F$106,"Acquisition")=0)*(VLOOKUP($A34,Customers!$A$5:$F$16,6,FALSE)=M$24)</f>
        <v/>
      </c>
      <c r="N34" s="112">
        <f>'Weights &amp; Assumptions'!$B$6*COUNTIFS(Engagements!$B$5:$B$106,$A34,Engagements!$D$5:$D$106,N$24,Engagements!$F$5:$F$106,'Weights &amp; Assumptions'!$A$6)/MAX(1,COUNTIFS(Engagements!$B$5:$B$106,$A34,Engagements!$F$5:$F$106,'Weights &amp; Assumptions'!$A$6))+'Weights &amp; Assumptions'!$B$7*COUNTIFS(Engagements!$B$5:$B$106,$A34,Engagements!$D$5:$D$106,N$24,Engagements!$F$5:$F$106,'Weights &amp; Assumptions'!$A$7)/MAX(1,COUNTIFS(Engagements!$B$5:$B$106,$A34,Engagements!$F$5:$F$106,'Weights &amp; Assumptions'!$A$7))+'Weights &amp; Assumptions'!$B$8*COUNTIFS(Engagements!$B$5:$B$106,$A34,Engagements!$D$5:$D$106,N$24,Engagements!$F$5:$F$106,'Weights &amp; Assumptions'!$A$8)/MAX(1,COUNTIFS(Engagements!$B$5:$B$106,$A34,Engagements!$F$5:$F$106,'Weights &amp; Assumptions'!$A$8))+'Weights &amp; Assumptions'!$B$9*COUNTIFS(Engagements!$B$5:$B$106,$A34,Engagements!$D$5:$D$106,N$24,Engagements!$F$5:$F$106,'Weights &amp; Assumptions'!$A$9)/MAX(1,COUNTIFS(Engagements!$B$5:$B$106,$A34,Engagements!$F$5:$F$106,'Weights &amp; Assumptions'!$A$9))+'Weights &amp; Assumptions'!$B$10*COUNTIFS(Engagements!$B$5:$B$106,$A34,Engagements!$D$5:$D$106,N$24,Engagements!$F$5:$F$106,'Weights &amp; Assumptions'!$A$10)/MAX(1,COUNTIFS(Engagements!$B$5:$B$106,$A34,Engagements!$F$5:$F$106,'Weights &amp; Assumptions'!$A$10))+'Weights &amp; Assumptions'!$B$11*COUNTIFS(Engagements!$B$5:$B$106,$A34,Engagements!$D$5:$D$106,N$24,Engagements!$F$5:$F$106,'Weights &amp; Assumptions'!$A$11)/MAX(1,COUNTIFS(Engagements!$B$5:$B$106,$A34,Engagements!$F$5:$F$106,'Weights &amp; Assumptions'!$A$11))+'Weights &amp; Assumptions'!$B$6*(COUNTIFS(Engagements!$B$5:$B$106,$A34,Engagements!$F$5:$F$106,"Acquisition")=0)*(VLOOKUP($A34,Customers!$A$5:$F$16,6,FALSE)=N$24)</f>
        <v/>
      </c>
      <c r="O34" s="76">
        <f>ROUND(SUM(C34:N34),1)</f>
        <v/>
      </c>
      <c r="P34" s="76">
        <f>ROUND('Weights &amp; Assumptions'!$B$12-O34,1)</f>
        <v/>
      </c>
    </row>
    <row r="35">
      <c r="A35" s="73">
        <f>Customers!A15</f>
        <v/>
      </c>
      <c r="B35" s="73">
        <f>Customers!B15</f>
        <v/>
      </c>
      <c r="C35" s="112">
        <f>'Weights &amp; Assumptions'!$B$6*COUNTIFS(Engagements!$B$5:$B$106,$A35,Engagements!$D$5:$D$106,C$24,Engagements!$F$5:$F$106,'Weights &amp; Assumptions'!$A$6)/MAX(1,COUNTIFS(Engagements!$B$5:$B$106,$A35,Engagements!$F$5:$F$106,'Weights &amp; Assumptions'!$A$6))+'Weights &amp; Assumptions'!$B$7*COUNTIFS(Engagements!$B$5:$B$106,$A35,Engagements!$D$5:$D$106,C$24,Engagements!$F$5:$F$106,'Weights &amp; Assumptions'!$A$7)/MAX(1,COUNTIFS(Engagements!$B$5:$B$106,$A35,Engagements!$F$5:$F$106,'Weights &amp; Assumptions'!$A$7))+'Weights &amp; Assumptions'!$B$8*COUNTIFS(Engagements!$B$5:$B$106,$A35,Engagements!$D$5:$D$106,C$24,Engagements!$F$5:$F$106,'Weights &amp; Assumptions'!$A$8)/MAX(1,COUNTIFS(Engagements!$B$5:$B$106,$A35,Engagements!$F$5:$F$106,'Weights &amp; Assumptions'!$A$8))+'Weights &amp; Assumptions'!$B$9*COUNTIFS(Engagements!$B$5:$B$106,$A35,Engagements!$D$5:$D$106,C$24,Engagements!$F$5:$F$106,'Weights &amp; Assumptions'!$A$9)/MAX(1,COUNTIFS(Engagements!$B$5:$B$106,$A35,Engagements!$F$5:$F$106,'Weights &amp; Assumptions'!$A$9))+'Weights &amp; Assumptions'!$B$10*COUNTIFS(Engagements!$B$5:$B$106,$A35,Engagements!$D$5:$D$106,C$24,Engagements!$F$5:$F$106,'Weights &amp; Assumptions'!$A$10)/MAX(1,COUNTIFS(Engagements!$B$5:$B$106,$A35,Engagements!$F$5:$F$106,'Weights &amp; Assumptions'!$A$10))+'Weights &amp; Assumptions'!$B$11*COUNTIFS(Engagements!$B$5:$B$106,$A35,Engagements!$D$5:$D$106,C$24,Engagements!$F$5:$F$106,'Weights &amp; Assumptions'!$A$11)/MAX(1,COUNTIFS(Engagements!$B$5:$B$106,$A35,Engagements!$F$5:$F$106,'Weights &amp; Assumptions'!$A$11))+'Weights &amp; Assumptions'!$B$6*(COUNTIFS(Engagements!$B$5:$B$106,$A35,Engagements!$F$5:$F$106,"Acquisition")=0)*(VLOOKUP($A35,Customers!$A$5:$F$16,6,FALSE)=C$24)</f>
        <v/>
      </c>
      <c r="D35" s="112">
        <f>'Weights &amp; Assumptions'!$B$6*COUNTIFS(Engagements!$B$5:$B$106,$A35,Engagements!$D$5:$D$106,D$24,Engagements!$F$5:$F$106,'Weights &amp; Assumptions'!$A$6)/MAX(1,COUNTIFS(Engagements!$B$5:$B$106,$A35,Engagements!$F$5:$F$106,'Weights &amp; Assumptions'!$A$6))+'Weights &amp; Assumptions'!$B$7*COUNTIFS(Engagements!$B$5:$B$106,$A35,Engagements!$D$5:$D$106,D$24,Engagements!$F$5:$F$106,'Weights &amp; Assumptions'!$A$7)/MAX(1,COUNTIFS(Engagements!$B$5:$B$106,$A35,Engagements!$F$5:$F$106,'Weights &amp; Assumptions'!$A$7))+'Weights &amp; Assumptions'!$B$8*COUNTIFS(Engagements!$B$5:$B$106,$A35,Engagements!$D$5:$D$106,D$24,Engagements!$F$5:$F$106,'Weights &amp; Assumptions'!$A$8)/MAX(1,COUNTIFS(Engagements!$B$5:$B$106,$A35,Engagements!$F$5:$F$106,'Weights &amp; Assumptions'!$A$8))+'Weights &amp; Assumptions'!$B$9*COUNTIFS(Engagements!$B$5:$B$106,$A35,Engagements!$D$5:$D$106,D$24,Engagements!$F$5:$F$106,'Weights &amp; Assumptions'!$A$9)/MAX(1,COUNTIFS(Engagements!$B$5:$B$106,$A35,Engagements!$F$5:$F$106,'Weights &amp; Assumptions'!$A$9))+'Weights &amp; Assumptions'!$B$10*COUNTIFS(Engagements!$B$5:$B$106,$A35,Engagements!$D$5:$D$106,D$24,Engagements!$F$5:$F$106,'Weights &amp; Assumptions'!$A$10)/MAX(1,COUNTIFS(Engagements!$B$5:$B$106,$A35,Engagements!$F$5:$F$106,'Weights &amp; Assumptions'!$A$10))+'Weights &amp; Assumptions'!$B$11*COUNTIFS(Engagements!$B$5:$B$106,$A35,Engagements!$D$5:$D$106,D$24,Engagements!$F$5:$F$106,'Weights &amp; Assumptions'!$A$11)/MAX(1,COUNTIFS(Engagements!$B$5:$B$106,$A35,Engagements!$F$5:$F$106,'Weights &amp; Assumptions'!$A$11))+'Weights &amp; Assumptions'!$B$6*(COUNTIFS(Engagements!$B$5:$B$106,$A35,Engagements!$F$5:$F$106,"Acquisition")=0)*(VLOOKUP($A35,Customers!$A$5:$F$16,6,FALSE)=D$24)</f>
        <v/>
      </c>
      <c r="E35" s="112">
        <f>'Weights &amp; Assumptions'!$B$6*COUNTIFS(Engagements!$B$5:$B$106,$A35,Engagements!$D$5:$D$106,E$24,Engagements!$F$5:$F$106,'Weights &amp; Assumptions'!$A$6)/MAX(1,COUNTIFS(Engagements!$B$5:$B$106,$A35,Engagements!$F$5:$F$106,'Weights &amp; Assumptions'!$A$6))+'Weights &amp; Assumptions'!$B$7*COUNTIFS(Engagements!$B$5:$B$106,$A35,Engagements!$D$5:$D$106,E$24,Engagements!$F$5:$F$106,'Weights &amp; Assumptions'!$A$7)/MAX(1,COUNTIFS(Engagements!$B$5:$B$106,$A35,Engagements!$F$5:$F$106,'Weights &amp; Assumptions'!$A$7))+'Weights &amp; Assumptions'!$B$8*COUNTIFS(Engagements!$B$5:$B$106,$A35,Engagements!$D$5:$D$106,E$24,Engagements!$F$5:$F$106,'Weights &amp; Assumptions'!$A$8)/MAX(1,COUNTIFS(Engagements!$B$5:$B$106,$A35,Engagements!$F$5:$F$106,'Weights &amp; Assumptions'!$A$8))+'Weights &amp; Assumptions'!$B$9*COUNTIFS(Engagements!$B$5:$B$106,$A35,Engagements!$D$5:$D$106,E$24,Engagements!$F$5:$F$106,'Weights &amp; Assumptions'!$A$9)/MAX(1,COUNTIFS(Engagements!$B$5:$B$106,$A35,Engagements!$F$5:$F$106,'Weights &amp; Assumptions'!$A$9))+'Weights &amp; Assumptions'!$B$10*COUNTIFS(Engagements!$B$5:$B$106,$A35,Engagements!$D$5:$D$106,E$24,Engagements!$F$5:$F$106,'Weights &amp; Assumptions'!$A$10)/MAX(1,COUNTIFS(Engagements!$B$5:$B$106,$A35,Engagements!$F$5:$F$106,'Weights &amp; Assumptions'!$A$10))+'Weights &amp; Assumptions'!$B$11*COUNTIFS(Engagements!$B$5:$B$106,$A35,Engagements!$D$5:$D$106,E$24,Engagements!$F$5:$F$106,'Weights &amp; Assumptions'!$A$11)/MAX(1,COUNTIFS(Engagements!$B$5:$B$106,$A35,Engagements!$F$5:$F$106,'Weights &amp; Assumptions'!$A$11))+'Weights &amp; Assumptions'!$B$6*(COUNTIFS(Engagements!$B$5:$B$106,$A35,Engagements!$F$5:$F$106,"Acquisition")=0)*(VLOOKUP($A35,Customers!$A$5:$F$16,6,FALSE)=E$24)</f>
        <v/>
      </c>
      <c r="F35" s="112">
        <f>'Weights &amp; Assumptions'!$B$6*COUNTIFS(Engagements!$B$5:$B$106,$A35,Engagements!$D$5:$D$106,F$24,Engagements!$F$5:$F$106,'Weights &amp; Assumptions'!$A$6)/MAX(1,COUNTIFS(Engagements!$B$5:$B$106,$A35,Engagements!$F$5:$F$106,'Weights &amp; Assumptions'!$A$6))+'Weights &amp; Assumptions'!$B$7*COUNTIFS(Engagements!$B$5:$B$106,$A35,Engagements!$D$5:$D$106,F$24,Engagements!$F$5:$F$106,'Weights &amp; Assumptions'!$A$7)/MAX(1,COUNTIFS(Engagements!$B$5:$B$106,$A35,Engagements!$F$5:$F$106,'Weights &amp; Assumptions'!$A$7))+'Weights &amp; Assumptions'!$B$8*COUNTIFS(Engagements!$B$5:$B$106,$A35,Engagements!$D$5:$D$106,F$24,Engagements!$F$5:$F$106,'Weights &amp; Assumptions'!$A$8)/MAX(1,COUNTIFS(Engagements!$B$5:$B$106,$A35,Engagements!$F$5:$F$106,'Weights &amp; Assumptions'!$A$8))+'Weights &amp; Assumptions'!$B$9*COUNTIFS(Engagements!$B$5:$B$106,$A35,Engagements!$D$5:$D$106,F$24,Engagements!$F$5:$F$106,'Weights &amp; Assumptions'!$A$9)/MAX(1,COUNTIFS(Engagements!$B$5:$B$106,$A35,Engagements!$F$5:$F$106,'Weights &amp; Assumptions'!$A$9))+'Weights &amp; Assumptions'!$B$10*COUNTIFS(Engagements!$B$5:$B$106,$A35,Engagements!$D$5:$D$106,F$24,Engagements!$F$5:$F$106,'Weights &amp; Assumptions'!$A$10)/MAX(1,COUNTIFS(Engagements!$B$5:$B$106,$A35,Engagements!$F$5:$F$106,'Weights &amp; Assumptions'!$A$10))+'Weights &amp; Assumptions'!$B$11*COUNTIFS(Engagements!$B$5:$B$106,$A35,Engagements!$D$5:$D$106,F$24,Engagements!$F$5:$F$106,'Weights &amp; Assumptions'!$A$11)/MAX(1,COUNTIFS(Engagements!$B$5:$B$106,$A35,Engagements!$F$5:$F$106,'Weights &amp; Assumptions'!$A$11))+'Weights &amp; Assumptions'!$B$6*(COUNTIFS(Engagements!$B$5:$B$106,$A35,Engagements!$F$5:$F$106,"Acquisition")=0)*(VLOOKUP($A35,Customers!$A$5:$F$16,6,FALSE)=F$24)</f>
        <v/>
      </c>
      <c r="G35" s="112">
        <f>'Weights &amp; Assumptions'!$B$6*COUNTIFS(Engagements!$B$5:$B$106,$A35,Engagements!$D$5:$D$106,G$24,Engagements!$F$5:$F$106,'Weights &amp; Assumptions'!$A$6)/MAX(1,COUNTIFS(Engagements!$B$5:$B$106,$A35,Engagements!$F$5:$F$106,'Weights &amp; Assumptions'!$A$6))+'Weights &amp; Assumptions'!$B$7*COUNTIFS(Engagements!$B$5:$B$106,$A35,Engagements!$D$5:$D$106,G$24,Engagements!$F$5:$F$106,'Weights &amp; Assumptions'!$A$7)/MAX(1,COUNTIFS(Engagements!$B$5:$B$106,$A35,Engagements!$F$5:$F$106,'Weights &amp; Assumptions'!$A$7))+'Weights &amp; Assumptions'!$B$8*COUNTIFS(Engagements!$B$5:$B$106,$A35,Engagements!$D$5:$D$106,G$24,Engagements!$F$5:$F$106,'Weights &amp; Assumptions'!$A$8)/MAX(1,COUNTIFS(Engagements!$B$5:$B$106,$A35,Engagements!$F$5:$F$106,'Weights &amp; Assumptions'!$A$8))+'Weights &amp; Assumptions'!$B$9*COUNTIFS(Engagements!$B$5:$B$106,$A35,Engagements!$D$5:$D$106,G$24,Engagements!$F$5:$F$106,'Weights &amp; Assumptions'!$A$9)/MAX(1,COUNTIFS(Engagements!$B$5:$B$106,$A35,Engagements!$F$5:$F$106,'Weights &amp; Assumptions'!$A$9))+'Weights &amp; Assumptions'!$B$10*COUNTIFS(Engagements!$B$5:$B$106,$A35,Engagements!$D$5:$D$106,G$24,Engagements!$F$5:$F$106,'Weights &amp; Assumptions'!$A$10)/MAX(1,COUNTIFS(Engagements!$B$5:$B$106,$A35,Engagements!$F$5:$F$106,'Weights &amp; Assumptions'!$A$10))+'Weights &amp; Assumptions'!$B$11*COUNTIFS(Engagements!$B$5:$B$106,$A35,Engagements!$D$5:$D$106,G$24,Engagements!$F$5:$F$106,'Weights &amp; Assumptions'!$A$11)/MAX(1,COUNTIFS(Engagements!$B$5:$B$106,$A35,Engagements!$F$5:$F$106,'Weights &amp; Assumptions'!$A$11))+'Weights &amp; Assumptions'!$B$6*(COUNTIFS(Engagements!$B$5:$B$106,$A35,Engagements!$F$5:$F$106,"Acquisition")=0)*(VLOOKUP($A35,Customers!$A$5:$F$16,6,FALSE)=G$24)</f>
        <v/>
      </c>
      <c r="H35" s="112">
        <f>'Weights &amp; Assumptions'!$B$6*COUNTIFS(Engagements!$B$5:$B$106,$A35,Engagements!$D$5:$D$106,H$24,Engagements!$F$5:$F$106,'Weights &amp; Assumptions'!$A$6)/MAX(1,COUNTIFS(Engagements!$B$5:$B$106,$A35,Engagements!$F$5:$F$106,'Weights &amp; Assumptions'!$A$6))+'Weights &amp; Assumptions'!$B$7*COUNTIFS(Engagements!$B$5:$B$106,$A35,Engagements!$D$5:$D$106,H$24,Engagements!$F$5:$F$106,'Weights &amp; Assumptions'!$A$7)/MAX(1,COUNTIFS(Engagements!$B$5:$B$106,$A35,Engagements!$F$5:$F$106,'Weights &amp; Assumptions'!$A$7))+'Weights &amp; Assumptions'!$B$8*COUNTIFS(Engagements!$B$5:$B$106,$A35,Engagements!$D$5:$D$106,H$24,Engagements!$F$5:$F$106,'Weights &amp; Assumptions'!$A$8)/MAX(1,COUNTIFS(Engagements!$B$5:$B$106,$A35,Engagements!$F$5:$F$106,'Weights &amp; Assumptions'!$A$8))+'Weights &amp; Assumptions'!$B$9*COUNTIFS(Engagements!$B$5:$B$106,$A35,Engagements!$D$5:$D$106,H$24,Engagements!$F$5:$F$106,'Weights &amp; Assumptions'!$A$9)/MAX(1,COUNTIFS(Engagements!$B$5:$B$106,$A35,Engagements!$F$5:$F$106,'Weights &amp; Assumptions'!$A$9))+'Weights &amp; Assumptions'!$B$10*COUNTIFS(Engagements!$B$5:$B$106,$A35,Engagements!$D$5:$D$106,H$24,Engagements!$F$5:$F$106,'Weights &amp; Assumptions'!$A$10)/MAX(1,COUNTIFS(Engagements!$B$5:$B$106,$A35,Engagements!$F$5:$F$106,'Weights &amp; Assumptions'!$A$10))+'Weights &amp; Assumptions'!$B$11*COUNTIFS(Engagements!$B$5:$B$106,$A35,Engagements!$D$5:$D$106,H$24,Engagements!$F$5:$F$106,'Weights &amp; Assumptions'!$A$11)/MAX(1,COUNTIFS(Engagements!$B$5:$B$106,$A35,Engagements!$F$5:$F$106,'Weights &amp; Assumptions'!$A$11))+'Weights &amp; Assumptions'!$B$6*(COUNTIFS(Engagements!$B$5:$B$106,$A35,Engagements!$F$5:$F$106,"Acquisition")=0)*(VLOOKUP($A35,Customers!$A$5:$F$16,6,FALSE)=H$24)</f>
        <v/>
      </c>
      <c r="I35" s="112">
        <f>'Weights &amp; Assumptions'!$B$6*COUNTIFS(Engagements!$B$5:$B$106,$A35,Engagements!$D$5:$D$106,I$24,Engagements!$F$5:$F$106,'Weights &amp; Assumptions'!$A$6)/MAX(1,COUNTIFS(Engagements!$B$5:$B$106,$A35,Engagements!$F$5:$F$106,'Weights &amp; Assumptions'!$A$6))+'Weights &amp; Assumptions'!$B$7*COUNTIFS(Engagements!$B$5:$B$106,$A35,Engagements!$D$5:$D$106,I$24,Engagements!$F$5:$F$106,'Weights &amp; Assumptions'!$A$7)/MAX(1,COUNTIFS(Engagements!$B$5:$B$106,$A35,Engagements!$F$5:$F$106,'Weights &amp; Assumptions'!$A$7))+'Weights &amp; Assumptions'!$B$8*COUNTIFS(Engagements!$B$5:$B$106,$A35,Engagements!$D$5:$D$106,I$24,Engagements!$F$5:$F$106,'Weights &amp; Assumptions'!$A$8)/MAX(1,COUNTIFS(Engagements!$B$5:$B$106,$A35,Engagements!$F$5:$F$106,'Weights &amp; Assumptions'!$A$8))+'Weights &amp; Assumptions'!$B$9*COUNTIFS(Engagements!$B$5:$B$106,$A35,Engagements!$D$5:$D$106,I$24,Engagements!$F$5:$F$106,'Weights &amp; Assumptions'!$A$9)/MAX(1,COUNTIFS(Engagements!$B$5:$B$106,$A35,Engagements!$F$5:$F$106,'Weights &amp; Assumptions'!$A$9))+'Weights &amp; Assumptions'!$B$10*COUNTIFS(Engagements!$B$5:$B$106,$A35,Engagements!$D$5:$D$106,I$24,Engagements!$F$5:$F$106,'Weights &amp; Assumptions'!$A$10)/MAX(1,COUNTIFS(Engagements!$B$5:$B$106,$A35,Engagements!$F$5:$F$106,'Weights &amp; Assumptions'!$A$10))+'Weights &amp; Assumptions'!$B$11*COUNTIFS(Engagements!$B$5:$B$106,$A35,Engagements!$D$5:$D$106,I$24,Engagements!$F$5:$F$106,'Weights &amp; Assumptions'!$A$11)/MAX(1,COUNTIFS(Engagements!$B$5:$B$106,$A35,Engagements!$F$5:$F$106,'Weights &amp; Assumptions'!$A$11))+'Weights &amp; Assumptions'!$B$6*(COUNTIFS(Engagements!$B$5:$B$106,$A35,Engagements!$F$5:$F$106,"Acquisition")=0)*(VLOOKUP($A35,Customers!$A$5:$F$16,6,FALSE)=I$24)</f>
        <v/>
      </c>
      <c r="J35" s="112">
        <f>'Weights &amp; Assumptions'!$B$6*COUNTIFS(Engagements!$B$5:$B$106,$A35,Engagements!$D$5:$D$106,J$24,Engagements!$F$5:$F$106,'Weights &amp; Assumptions'!$A$6)/MAX(1,COUNTIFS(Engagements!$B$5:$B$106,$A35,Engagements!$F$5:$F$106,'Weights &amp; Assumptions'!$A$6))+'Weights &amp; Assumptions'!$B$7*COUNTIFS(Engagements!$B$5:$B$106,$A35,Engagements!$D$5:$D$106,J$24,Engagements!$F$5:$F$106,'Weights &amp; Assumptions'!$A$7)/MAX(1,COUNTIFS(Engagements!$B$5:$B$106,$A35,Engagements!$F$5:$F$106,'Weights &amp; Assumptions'!$A$7))+'Weights &amp; Assumptions'!$B$8*COUNTIFS(Engagements!$B$5:$B$106,$A35,Engagements!$D$5:$D$106,J$24,Engagements!$F$5:$F$106,'Weights &amp; Assumptions'!$A$8)/MAX(1,COUNTIFS(Engagements!$B$5:$B$106,$A35,Engagements!$F$5:$F$106,'Weights &amp; Assumptions'!$A$8))+'Weights &amp; Assumptions'!$B$9*COUNTIFS(Engagements!$B$5:$B$106,$A35,Engagements!$D$5:$D$106,J$24,Engagements!$F$5:$F$106,'Weights &amp; Assumptions'!$A$9)/MAX(1,COUNTIFS(Engagements!$B$5:$B$106,$A35,Engagements!$F$5:$F$106,'Weights &amp; Assumptions'!$A$9))+'Weights &amp; Assumptions'!$B$10*COUNTIFS(Engagements!$B$5:$B$106,$A35,Engagements!$D$5:$D$106,J$24,Engagements!$F$5:$F$106,'Weights &amp; Assumptions'!$A$10)/MAX(1,COUNTIFS(Engagements!$B$5:$B$106,$A35,Engagements!$F$5:$F$106,'Weights &amp; Assumptions'!$A$10))+'Weights &amp; Assumptions'!$B$11*COUNTIFS(Engagements!$B$5:$B$106,$A35,Engagements!$D$5:$D$106,J$24,Engagements!$F$5:$F$106,'Weights &amp; Assumptions'!$A$11)/MAX(1,COUNTIFS(Engagements!$B$5:$B$106,$A35,Engagements!$F$5:$F$106,'Weights &amp; Assumptions'!$A$11))+'Weights &amp; Assumptions'!$B$6*(COUNTIFS(Engagements!$B$5:$B$106,$A35,Engagements!$F$5:$F$106,"Acquisition")=0)*(VLOOKUP($A35,Customers!$A$5:$F$16,6,FALSE)=J$24)</f>
        <v/>
      </c>
      <c r="K35" s="112">
        <f>'Weights &amp; Assumptions'!$B$6*COUNTIFS(Engagements!$B$5:$B$106,$A35,Engagements!$D$5:$D$106,K$24,Engagements!$F$5:$F$106,'Weights &amp; Assumptions'!$A$6)/MAX(1,COUNTIFS(Engagements!$B$5:$B$106,$A35,Engagements!$F$5:$F$106,'Weights &amp; Assumptions'!$A$6))+'Weights &amp; Assumptions'!$B$7*COUNTIFS(Engagements!$B$5:$B$106,$A35,Engagements!$D$5:$D$106,K$24,Engagements!$F$5:$F$106,'Weights &amp; Assumptions'!$A$7)/MAX(1,COUNTIFS(Engagements!$B$5:$B$106,$A35,Engagements!$F$5:$F$106,'Weights &amp; Assumptions'!$A$7))+'Weights &amp; Assumptions'!$B$8*COUNTIFS(Engagements!$B$5:$B$106,$A35,Engagements!$D$5:$D$106,K$24,Engagements!$F$5:$F$106,'Weights &amp; Assumptions'!$A$8)/MAX(1,COUNTIFS(Engagements!$B$5:$B$106,$A35,Engagements!$F$5:$F$106,'Weights &amp; Assumptions'!$A$8))+'Weights &amp; Assumptions'!$B$9*COUNTIFS(Engagements!$B$5:$B$106,$A35,Engagements!$D$5:$D$106,K$24,Engagements!$F$5:$F$106,'Weights &amp; Assumptions'!$A$9)/MAX(1,COUNTIFS(Engagements!$B$5:$B$106,$A35,Engagements!$F$5:$F$106,'Weights &amp; Assumptions'!$A$9))+'Weights &amp; Assumptions'!$B$10*COUNTIFS(Engagements!$B$5:$B$106,$A35,Engagements!$D$5:$D$106,K$24,Engagements!$F$5:$F$106,'Weights &amp; Assumptions'!$A$10)/MAX(1,COUNTIFS(Engagements!$B$5:$B$106,$A35,Engagements!$F$5:$F$106,'Weights &amp; Assumptions'!$A$10))+'Weights &amp; Assumptions'!$B$11*COUNTIFS(Engagements!$B$5:$B$106,$A35,Engagements!$D$5:$D$106,K$24,Engagements!$F$5:$F$106,'Weights &amp; Assumptions'!$A$11)/MAX(1,COUNTIFS(Engagements!$B$5:$B$106,$A35,Engagements!$F$5:$F$106,'Weights &amp; Assumptions'!$A$11))+'Weights &amp; Assumptions'!$B$6*(COUNTIFS(Engagements!$B$5:$B$106,$A35,Engagements!$F$5:$F$106,"Acquisition")=0)*(VLOOKUP($A35,Customers!$A$5:$F$16,6,FALSE)=K$24)</f>
        <v/>
      </c>
      <c r="L35" s="112">
        <f>'Weights &amp; Assumptions'!$B$6*COUNTIFS(Engagements!$B$5:$B$106,$A35,Engagements!$D$5:$D$106,L$24,Engagements!$F$5:$F$106,'Weights &amp; Assumptions'!$A$6)/MAX(1,COUNTIFS(Engagements!$B$5:$B$106,$A35,Engagements!$F$5:$F$106,'Weights &amp; Assumptions'!$A$6))+'Weights &amp; Assumptions'!$B$7*COUNTIFS(Engagements!$B$5:$B$106,$A35,Engagements!$D$5:$D$106,L$24,Engagements!$F$5:$F$106,'Weights &amp; Assumptions'!$A$7)/MAX(1,COUNTIFS(Engagements!$B$5:$B$106,$A35,Engagements!$F$5:$F$106,'Weights &amp; Assumptions'!$A$7))+'Weights &amp; Assumptions'!$B$8*COUNTIFS(Engagements!$B$5:$B$106,$A35,Engagements!$D$5:$D$106,L$24,Engagements!$F$5:$F$106,'Weights &amp; Assumptions'!$A$8)/MAX(1,COUNTIFS(Engagements!$B$5:$B$106,$A35,Engagements!$F$5:$F$106,'Weights &amp; Assumptions'!$A$8))+'Weights &amp; Assumptions'!$B$9*COUNTIFS(Engagements!$B$5:$B$106,$A35,Engagements!$D$5:$D$106,L$24,Engagements!$F$5:$F$106,'Weights &amp; Assumptions'!$A$9)/MAX(1,COUNTIFS(Engagements!$B$5:$B$106,$A35,Engagements!$F$5:$F$106,'Weights &amp; Assumptions'!$A$9))+'Weights &amp; Assumptions'!$B$10*COUNTIFS(Engagements!$B$5:$B$106,$A35,Engagements!$D$5:$D$106,L$24,Engagements!$F$5:$F$106,'Weights &amp; Assumptions'!$A$10)/MAX(1,COUNTIFS(Engagements!$B$5:$B$106,$A35,Engagements!$F$5:$F$106,'Weights &amp; Assumptions'!$A$10))+'Weights &amp; Assumptions'!$B$11*COUNTIFS(Engagements!$B$5:$B$106,$A35,Engagements!$D$5:$D$106,L$24,Engagements!$F$5:$F$106,'Weights &amp; Assumptions'!$A$11)/MAX(1,COUNTIFS(Engagements!$B$5:$B$106,$A35,Engagements!$F$5:$F$106,'Weights &amp; Assumptions'!$A$11))+'Weights &amp; Assumptions'!$B$6*(COUNTIFS(Engagements!$B$5:$B$106,$A35,Engagements!$F$5:$F$106,"Acquisition")=0)*(VLOOKUP($A35,Customers!$A$5:$F$16,6,FALSE)=L$24)</f>
        <v/>
      </c>
      <c r="M35" s="112">
        <f>'Weights &amp; Assumptions'!$B$6*COUNTIFS(Engagements!$B$5:$B$106,$A35,Engagements!$D$5:$D$106,M$24,Engagements!$F$5:$F$106,'Weights &amp; Assumptions'!$A$6)/MAX(1,COUNTIFS(Engagements!$B$5:$B$106,$A35,Engagements!$F$5:$F$106,'Weights &amp; Assumptions'!$A$6))+'Weights &amp; Assumptions'!$B$7*COUNTIFS(Engagements!$B$5:$B$106,$A35,Engagements!$D$5:$D$106,M$24,Engagements!$F$5:$F$106,'Weights &amp; Assumptions'!$A$7)/MAX(1,COUNTIFS(Engagements!$B$5:$B$106,$A35,Engagements!$F$5:$F$106,'Weights &amp; Assumptions'!$A$7))+'Weights &amp; Assumptions'!$B$8*COUNTIFS(Engagements!$B$5:$B$106,$A35,Engagements!$D$5:$D$106,M$24,Engagements!$F$5:$F$106,'Weights &amp; Assumptions'!$A$8)/MAX(1,COUNTIFS(Engagements!$B$5:$B$106,$A35,Engagements!$F$5:$F$106,'Weights &amp; Assumptions'!$A$8))+'Weights &amp; Assumptions'!$B$9*COUNTIFS(Engagements!$B$5:$B$106,$A35,Engagements!$D$5:$D$106,M$24,Engagements!$F$5:$F$106,'Weights &amp; Assumptions'!$A$9)/MAX(1,COUNTIFS(Engagements!$B$5:$B$106,$A35,Engagements!$F$5:$F$106,'Weights &amp; Assumptions'!$A$9))+'Weights &amp; Assumptions'!$B$10*COUNTIFS(Engagements!$B$5:$B$106,$A35,Engagements!$D$5:$D$106,M$24,Engagements!$F$5:$F$106,'Weights &amp; Assumptions'!$A$10)/MAX(1,COUNTIFS(Engagements!$B$5:$B$106,$A35,Engagements!$F$5:$F$106,'Weights &amp; Assumptions'!$A$10))+'Weights &amp; Assumptions'!$B$11*COUNTIFS(Engagements!$B$5:$B$106,$A35,Engagements!$D$5:$D$106,M$24,Engagements!$F$5:$F$106,'Weights &amp; Assumptions'!$A$11)/MAX(1,COUNTIFS(Engagements!$B$5:$B$106,$A35,Engagements!$F$5:$F$106,'Weights &amp; Assumptions'!$A$11))+'Weights &amp; Assumptions'!$B$6*(COUNTIFS(Engagements!$B$5:$B$106,$A35,Engagements!$F$5:$F$106,"Acquisition")=0)*(VLOOKUP($A35,Customers!$A$5:$F$16,6,FALSE)=M$24)</f>
        <v/>
      </c>
      <c r="N35" s="112">
        <f>'Weights &amp; Assumptions'!$B$6*COUNTIFS(Engagements!$B$5:$B$106,$A35,Engagements!$D$5:$D$106,N$24,Engagements!$F$5:$F$106,'Weights &amp; Assumptions'!$A$6)/MAX(1,COUNTIFS(Engagements!$B$5:$B$106,$A35,Engagements!$F$5:$F$106,'Weights &amp; Assumptions'!$A$6))+'Weights &amp; Assumptions'!$B$7*COUNTIFS(Engagements!$B$5:$B$106,$A35,Engagements!$D$5:$D$106,N$24,Engagements!$F$5:$F$106,'Weights &amp; Assumptions'!$A$7)/MAX(1,COUNTIFS(Engagements!$B$5:$B$106,$A35,Engagements!$F$5:$F$106,'Weights &amp; Assumptions'!$A$7))+'Weights &amp; Assumptions'!$B$8*COUNTIFS(Engagements!$B$5:$B$106,$A35,Engagements!$D$5:$D$106,N$24,Engagements!$F$5:$F$106,'Weights &amp; Assumptions'!$A$8)/MAX(1,COUNTIFS(Engagements!$B$5:$B$106,$A35,Engagements!$F$5:$F$106,'Weights &amp; Assumptions'!$A$8))+'Weights &amp; Assumptions'!$B$9*COUNTIFS(Engagements!$B$5:$B$106,$A35,Engagements!$D$5:$D$106,N$24,Engagements!$F$5:$F$106,'Weights &amp; Assumptions'!$A$9)/MAX(1,COUNTIFS(Engagements!$B$5:$B$106,$A35,Engagements!$F$5:$F$106,'Weights &amp; Assumptions'!$A$9))+'Weights &amp; Assumptions'!$B$10*COUNTIFS(Engagements!$B$5:$B$106,$A35,Engagements!$D$5:$D$106,N$24,Engagements!$F$5:$F$106,'Weights &amp; Assumptions'!$A$10)/MAX(1,COUNTIFS(Engagements!$B$5:$B$106,$A35,Engagements!$F$5:$F$106,'Weights &amp; Assumptions'!$A$10))+'Weights &amp; Assumptions'!$B$11*COUNTIFS(Engagements!$B$5:$B$106,$A35,Engagements!$D$5:$D$106,N$24,Engagements!$F$5:$F$106,'Weights &amp; Assumptions'!$A$11)/MAX(1,COUNTIFS(Engagements!$B$5:$B$106,$A35,Engagements!$F$5:$F$106,'Weights &amp; Assumptions'!$A$11))+'Weights &amp; Assumptions'!$B$6*(COUNTIFS(Engagements!$B$5:$B$106,$A35,Engagements!$F$5:$F$106,"Acquisition")=0)*(VLOOKUP($A35,Customers!$A$5:$F$16,6,FALSE)=N$24)</f>
        <v/>
      </c>
      <c r="O35" s="76">
        <f>ROUND(SUM(C35:N35),1)</f>
        <v/>
      </c>
      <c r="P35" s="76">
        <f>ROUND('Weights &amp; Assumptions'!$B$12-O35,1)</f>
        <v/>
      </c>
    </row>
    <row r="36">
      <c r="A36" s="73">
        <f>Customers!A16</f>
        <v/>
      </c>
      <c r="B36" s="73">
        <f>Customers!B16</f>
        <v/>
      </c>
      <c r="C36" s="112">
        <f>'Weights &amp; Assumptions'!$B$6*COUNTIFS(Engagements!$B$5:$B$106,$A36,Engagements!$D$5:$D$106,C$24,Engagements!$F$5:$F$106,'Weights &amp; Assumptions'!$A$6)/MAX(1,COUNTIFS(Engagements!$B$5:$B$106,$A36,Engagements!$F$5:$F$106,'Weights &amp; Assumptions'!$A$6))+'Weights &amp; Assumptions'!$B$7*COUNTIFS(Engagements!$B$5:$B$106,$A36,Engagements!$D$5:$D$106,C$24,Engagements!$F$5:$F$106,'Weights &amp; Assumptions'!$A$7)/MAX(1,COUNTIFS(Engagements!$B$5:$B$106,$A36,Engagements!$F$5:$F$106,'Weights &amp; Assumptions'!$A$7))+'Weights &amp; Assumptions'!$B$8*COUNTIFS(Engagements!$B$5:$B$106,$A36,Engagements!$D$5:$D$106,C$24,Engagements!$F$5:$F$106,'Weights &amp; Assumptions'!$A$8)/MAX(1,COUNTIFS(Engagements!$B$5:$B$106,$A36,Engagements!$F$5:$F$106,'Weights &amp; Assumptions'!$A$8))+'Weights &amp; Assumptions'!$B$9*COUNTIFS(Engagements!$B$5:$B$106,$A36,Engagements!$D$5:$D$106,C$24,Engagements!$F$5:$F$106,'Weights &amp; Assumptions'!$A$9)/MAX(1,COUNTIFS(Engagements!$B$5:$B$106,$A36,Engagements!$F$5:$F$106,'Weights &amp; Assumptions'!$A$9))+'Weights &amp; Assumptions'!$B$10*COUNTIFS(Engagements!$B$5:$B$106,$A36,Engagements!$D$5:$D$106,C$24,Engagements!$F$5:$F$106,'Weights &amp; Assumptions'!$A$10)/MAX(1,COUNTIFS(Engagements!$B$5:$B$106,$A36,Engagements!$F$5:$F$106,'Weights &amp; Assumptions'!$A$10))+'Weights &amp; Assumptions'!$B$11*COUNTIFS(Engagements!$B$5:$B$106,$A36,Engagements!$D$5:$D$106,C$24,Engagements!$F$5:$F$106,'Weights &amp; Assumptions'!$A$11)/MAX(1,COUNTIFS(Engagements!$B$5:$B$106,$A36,Engagements!$F$5:$F$106,'Weights &amp; Assumptions'!$A$11))+'Weights &amp; Assumptions'!$B$6*(COUNTIFS(Engagements!$B$5:$B$106,$A36,Engagements!$F$5:$F$106,"Acquisition")=0)*(VLOOKUP($A36,Customers!$A$5:$F$16,6,FALSE)=C$24)</f>
        <v/>
      </c>
      <c r="D36" s="112">
        <f>'Weights &amp; Assumptions'!$B$6*COUNTIFS(Engagements!$B$5:$B$106,$A36,Engagements!$D$5:$D$106,D$24,Engagements!$F$5:$F$106,'Weights &amp; Assumptions'!$A$6)/MAX(1,COUNTIFS(Engagements!$B$5:$B$106,$A36,Engagements!$F$5:$F$106,'Weights &amp; Assumptions'!$A$6))+'Weights &amp; Assumptions'!$B$7*COUNTIFS(Engagements!$B$5:$B$106,$A36,Engagements!$D$5:$D$106,D$24,Engagements!$F$5:$F$106,'Weights &amp; Assumptions'!$A$7)/MAX(1,COUNTIFS(Engagements!$B$5:$B$106,$A36,Engagements!$F$5:$F$106,'Weights &amp; Assumptions'!$A$7))+'Weights &amp; Assumptions'!$B$8*COUNTIFS(Engagements!$B$5:$B$106,$A36,Engagements!$D$5:$D$106,D$24,Engagements!$F$5:$F$106,'Weights &amp; Assumptions'!$A$8)/MAX(1,COUNTIFS(Engagements!$B$5:$B$106,$A36,Engagements!$F$5:$F$106,'Weights &amp; Assumptions'!$A$8))+'Weights &amp; Assumptions'!$B$9*COUNTIFS(Engagements!$B$5:$B$106,$A36,Engagements!$D$5:$D$106,D$24,Engagements!$F$5:$F$106,'Weights &amp; Assumptions'!$A$9)/MAX(1,COUNTIFS(Engagements!$B$5:$B$106,$A36,Engagements!$F$5:$F$106,'Weights &amp; Assumptions'!$A$9))+'Weights &amp; Assumptions'!$B$10*COUNTIFS(Engagements!$B$5:$B$106,$A36,Engagements!$D$5:$D$106,D$24,Engagements!$F$5:$F$106,'Weights &amp; Assumptions'!$A$10)/MAX(1,COUNTIFS(Engagements!$B$5:$B$106,$A36,Engagements!$F$5:$F$106,'Weights &amp; Assumptions'!$A$10))+'Weights &amp; Assumptions'!$B$11*COUNTIFS(Engagements!$B$5:$B$106,$A36,Engagements!$D$5:$D$106,D$24,Engagements!$F$5:$F$106,'Weights &amp; Assumptions'!$A$11)/MAX(1,COUNTIFS(Engagements!$B$5:$B$106,$A36,Engagements!$F$5:$F$106,'Weights &amp; Assumptions'!$A$11))+'Weights &amp; Assumptions'!$B$6*(COUNTIFS(Engagements!$B$5:$B$106,$A36,Engagements!$F$5:$F$106,"Acquisition")=0)*(VLOOKUP($A36,Customers!$A$5:$F$16,6,FALSE)=D$24)</f>
        <v/>
      </c>
      <c r="E36" s="112">
        <f>'Weights &amp; Assumptions'!$B$6*COUNTIFS(Engagements!$B$5:$B$106,$A36,Engagements!$D$5:$D$106,E$24,Engagements!$F$5:$F$106,'Weights &amp; Assumptions'!$A$6)/MAX(1,COUNTIFS(Engagements!$B$5:$B$106,$A36,Engagements!$F$5:$F$106,'Weights &amp; Assumptions'!$A$6))+'Weights &amp; Assumptions'!$B$7*COUNTIFS(Engagements!$B$5:$B$106,$A36,Engagements!$D$5:$D$106,E$24,Engagements!$F$5:$F$106,'Weights &amp; Assumptions'!$A$7)/MAX(1,COUNTIFS(Engagements!$B$5:$B$106,$A36,Engagements!$F$5:$F$106,'Weights &amp; Assumptions'!$A$7))+'Weights &amp; Assumptions'!$B$8*COUNTIFS(Engagements!$B$5:$B$106,$A36,Engagements!$D$5:$D$106,E$24,Engagements!$F$5:$F$106,'Weights &amp; Assumptions'!$A$8)/MAX(1,COUNTIFS(Engagements!$B$5:$B$106,$A36,Engagements!$F$5:$F$106,'Weights &amp; Assumptions'!$A$8))+'Weights &amp; Assumptions'!$B$9*COUNTIFS(Engagements!$B$5:$B$106,$A36,Engagements!$D$5:$D$106,E$24,Engagements!$F$5:$F$106,'Weights &amp; Assumptions'!$A$9)/MAX(1,COUNTIFS(Engagements!$B$5:$B$106,$A36,Engagements!$F$5:$F$106,'Weights &amp; Assumptions'!$A$9))+'Weights &amp; Assumptions'!$B$10*COUNTIFS(Engagements!$B$5:$B$106,$A36,Engagements!$D$5:$D$106,E$24,Engagements!$F$5:$F$106,'Weights &amp; Assumptions'!$A$10)/MAX(1,COUNTIFS(Engagements!$B$5:$B$106,$A36,Engagements!$F$5:$F$106,'Weights &amp; Assumptions'!$A$10))+'Weights &amp; Assumptions'!$B$11*COUNTIFS(Engagements!$B$5:$B$106,$A36,Engagements!$D$5:$D$106,E$24,Engagements!$F$5:$F$106,'Weights &amp; Assumptions'!$A$11)/MAX(1,COUNTIFS(Engagements!$B$5:$B$106,$A36,Engagements!$F$5:$F$106,'Weights &amp; Assumptions'!$A$11))+'Weights &amp; Assumptions'!$B$6*(COUNTIFS(Engagements!$B$5:$B$106,$A36,Engagements!$F$5:$F$106,"Acquisition")=0)*(VLOOKUP($A36,Customers!$A$5:$F$16,6,FALSE)=E$24)</f>
        <v/>
      </c>
      <c r="F36" s="112">
        <f>'Weights &amp; Assumptions'!$B$6*COUNTIFS(Engagements!$B$5:$B$106,$A36,Engagements!$D$5:$D$106,F$24,Engagements!$F$5:$F$106,'Weights &amp; Assumptions'!$A$6)/MAX(1,COUNTIFS(Engagements!$B$5:$B$106,$A36,Engagements!$F$5:$F$106,'Weights &amp; Assumptions'!$A$6))+'Weights &amp; Assumptions'!$B$7*COUNTIFS(Engagements!$B$5:$B$106,$A36,Engagements!$D$5:$D$106,F$24,Engagements!$F$5:$F$106,'Weights &amp; Assumptions'!$A$7)/MAX(1,COUNTIFS(Engagements!$B$5:$B$106,$A36,Engagements!$F$5:$F$106,'Weights &amp; Assumptions'!$A$7))+'Weights &amp; Assumptions'!$B$8*COUNTIFS(Engagements!$B$5:$B$106,$A36,Engagements!$D$5:$D$106,F$24,Engagements!$F$5:$F$106,'Weights &amp; Assumptions'!$A$8)/MAX(1,COUNTIFS(Engagements!$B$5:$B$106,$A36,Engagements!$F$5:$F$106,'Weights &amp; Assumptions'!$A$8))+'Weights &amp; Assumptions'!$B$9*COUNTIFS(Engagements!$B$5:$B$106,$A36,Engagements!$D$5:$D$106,F$24,Engagements!$F$5:$F$106,'Weights &amp; Assumptions'!$A$9)/MAX(1,COUNTIFS(Engagements!$B$5:$B$106,$A36,Engagements!$F$5:$F$106,'Weights &amp; Assumptions'!$A$9))+'Weights &amp; Assumptions'!$B$10*COUNTIFS(Engagements!$B$5:$B$106,$A36,Engagements!$D$5:$D$106,F$24,Engagements!$F$5:$F$106,'Weights &amp; Assumptions'!$A$10)/MAX(1,COUNTIFS(Engagements!$B$5:$B$106,$A36,Engagements!$F$5:$F$106,'Weights &amp; Assumptions'!$A$10))+'Weights &amp; Assumptions'!$B$11*COUNTIFS(Engagements!$B$5:$B$106,$A36,Engagements!$D$5:$D$106,F$24,Engagements!$F$5:$F$106,'Weights &amp; Assumptions'!$A$11)/MAX(1,COUNTIFS(Engagements!$B$5:$B$106,$A36,Engagements!$F$5:$F$106,'Weights &amp; Assumptions'!$A$11))+'Weights &amp; Assumptions'!$B$6*(COUNTIFS(Engagements!$B$5:$B$106,$A36,Engagements!$F$5:$F$106,"Acquisition")=0)*(VLOOKUP($A36,Customers!$A$5:$F$16,6,FALSE)=F$24)</f>
        <v/>
      </c>
      <c r="G36" s="112">
        <f>'Weights &amp; Assumptions'!$B$6*COUNTIFS(Engagements!$B$5:$B$106,$A36,Engagements!$D$5:$D$106,G$24,Engagements!$F$5:$F$106,'Weights &amp; Assumptions'!$A$6)/MAX(1,COUNTIFS(Engagements!$B$5:$B$106,$A36,Engagements!$F$5:$F$106,'Weights &amp; Assumptions'!$A$6))+'Weights &amp; Assumptions'!$B$7*COUNTIFS(Engagements!$B$5:$B$106,$A36,Engagements!$D$5:$D$106,G$24,Engagements!$F$5:$F$106,'Weights &amp; Assumptions'!$A$7)/MAX(1,COUNTIFS(Engagements!$B$5:$B$106,$A36,Engagements!$F$5:$F$106,'Weights &amp; Assumptions'!$A$7))+'Weights &amp; Assumptions'!$B$8*COUNTIFS(Engagements!$B$5:$B$106,$A36,Engagements!$D$5:$D$106,G$24,Engagements!$F$5:$F$106,'Weights &amp; Assumptions'!$A$8)/MAX(1,COUNTIFS(Engagements!$B$5:$B$106,$A36,Engagements!$F$5:$F$106,'Weights &amp; Assumptions'!$A$8))+'Weights &amp; Assumptions'!$B$9*COUNTIFS(Engagements!$B$5:$B$106,$A36,Engagements!$D$5:$D$106,G$24,Engagements!$F$5:$F$106,'Weights &amp; Assumptions'!$A$9)/MAX(1,COUNTIFS(Engagements!$B$5:$B$106,$A36,Engagements!$F$5:$F$106,'Weights &amp; Assumptions'!$A$9))+'Weights &amp; Assumptions'!$B$10*COUNTIFS(Engagements!$B$5:$B$106,$A36,Engagements!$D$5:$D$106,G$24,Engagements!$F$5:$F$106,'Weights &amp; Assumptions'!$A$10)/MAX(1,COUNTIFS(Engagements!$B$5:$B$106,$A36,Engagements!$F$5:$F$106,'Weights &amp; Assumptions'!$A$10))+'Weights &amp; Assumptions'!$B$11*COUNTIFS(Engagements!$B$5:$B$106,$A36,Engagements!$D$5:$D$106,G$24,Engagements!$F$5:$F$106,'Weights &amp; Assumptions'!$A$11)/MAX(1,COUNTIFS(Engagements!$B$5:$B$106,$A36,Engagements!$F$5:$F$106,'Weights &amp; Assumptions'!$A$11))+'Weights &amp; Assumptions'!$B$6*(COUNTIFS(Engagements!$B$5:$B$106,$A36,Engagements!$F$5:$F$106,"Acquisition")=0)*(VLOOKUP($A36,Customers!$A$5:$F$16,6,FALSE)=G$24)</f>
        <v/>
      </c>
      <c r="H36" s="112">
        <f>'Weights &amp; Assumptions'!$B$6*COUNTIFS(Engagements!$B$5:$B$106,$A36,Engagements!$D$5:$D$106,H$24,Engagements!$F$5:$F$106,'Weights &amp; Assumptions'!$A$6)/MAX(1,COUNTIFS(Engagements!$B$5:$B$106,$A36,Engagements!$F$5:$F$106,'Weights &amp; Assumptions'!$A$6))+'Weights &amp; Assumptions'!$B$7*COUNTIFS(Engagements!$B$5:$B$106,$A36,Engagements!$D$5:$D$106,H$24,Engagements!$F$5:$F$106,'Weights &amp; Assumptions'!$A$7)/MAX(1,COUNTIFS(Engagements!$B$5:$B$106,$A36,Engagements!$F$5:$F$106,'Weights &amp; Assumptions'!$A$7))+'Weights &amp; Assumptions'!$B$8*COUNTIFS(Engagements!$B$5:$B$106,$A36,Engagements!$D$5:$D$106,H$24,Engagements!$F$5:$F$106,'Weights &amp; Assumptions'!$A$8)/MAX(1,COUNTIFS(Engagements!$B$5:$B$106,$A36,Engagements!$F$5:$F$106,'Weights &amp; Assumptions'!$A$8))+'Weights &amp; Assumptions'!$B$9*COUNTIFS(Engagements!$B$5:$B$106,$A36,Engagements!$D$5:$D$106,H$24,Engagements!$F$5:$F$106,'Weights &amp; Assumptions'!$A$9)/MAX(1,COUNTIFS(Engagements!$B$5:$B$106,$A36,Engagements!$F$5:$F$106,'Weights &amp; Assumptions'!$A$9))+'Weights &amp; Assumptions'!$B$10*COUNTIFS(Engagements!$B$5:$B$106,$A36,Engagements!$D$5:$D$106,H$24,Engagements!$F$5:$F$106,'Weights &amp; Assumptions'!$A$10)/MAX(1,COUNTIFS(Engagements!$B$5:$B$106,$A36,Engagements!$F$5:$F$106,'Weights &amp; Assumptions'!$A$10))+'Weights &amp; Assumptions'!$B$11*COUNTIFS(Engagements!$B$5:$B$106,$A36,Engagements!$D$5:$D$106,H$24,Engagements!$F$5:$F$106,'Weights &amp; Assumptions'!$A$11)/MAX(1,COUNTIFS(Engagements!$B$5:$B$106,$A36,Engagements!$F$5:$F$106,'Weights &amp; Assumptions'!$A$11))+'Weights &amp; Assumptions'!$B$6*(COUNTIFS(Engagements!$B$5:$B$106,$A36,Engagements!$F$5:$F$106,"Acquisition")=0)*(VLOOKUP($A36,Customers!$A$5:$F$16,6,FALSE)=H$24)</f>
        <v/>
      </c>
      <c r="I36" s="112">
        <f>'Weights &amp; Assumptions'!$B$6*COUNTIFS(Engagements!$B$5:$B$106,$A36,Engagements!$D$5:$D$106,I$24,Engagements!$F$5:$F$106,'Weights &amp; Assumptions'!$A$6)/MAX(1,COUNTIFS(Engagements!$B$5:$B$106,$A36,Engagements!$F$5:$F$106,'Weights &amp; Assumptions'!$A$6))+'Weights &amp; Assumptions'!$B$7*COUNTIFS(Engagements!$B$5:$B$106,$A36,Engagements!$D$5:$D$106,I$24,Engagements!$F$5:$F$106,'Weights &amp; Assumptions'!$A$7)/MAX(1,COUNTIFS(Engagements!$B$5:$B$106,$A36,Engagements!$F$5:$F$106,'Weights &amp; Assumptions'!$A$7))+'Weights &amp; Assumptions'!$B$8*COUNTIFS(Engagements!$B$5:$B$106,$A36,Engagements!$D$5:$D$106,I$24,Engagements!$F$5:$F$106,'Weights &amp; Assumptions'!$A$8)/MAX(1,COUNTIFS(Engagements!$B$5:$B$106,$A36,Engagements!$F$5:$F$106,'Weights &amp; Assumptions'!$A$8))+'Weights &amp; Assumptions'!$B$9*COUNTIFS(Engagements!$B$5:$B$106,$A36,Engagements!$D$5:$D$106,I$24,Engagements!$F$5:$F$106,'Weights &amp; Assumptions'!$A$9)/MAX(1,COUNTIFS(Engagements!$B$5:$B$106,$A36,Engagements!$F$5:$F$106,'Weights &amp; Assumptions'!$A$9))+'Weights &amp; Assumptions'!$B$10*COUNTIFS(Engagements!$B$5:$B$106,$A36,Engagements!$D$5:$D$106,I$24,Engagements!$F$5:$F$106,'Weights &amp; Assumptions'!$A$10)/MAX(1,COUNTIFS(Engagements!$B$5:$B$106,$A36,Engagements!$F$5:$F$106,'Weights &amp; Assumptions'!$A$10))+'Weights &amp; Assumptions'!$B$11*COUNTIFS(Engagements!$B$5:$B$106,$A36,Engagements!$D$5:$D$106,I$24,Engagements!$F$5:$F$106,'Weights &amp; Assumptions'!$A$11)/MAX(1,COUNTIFS(Engagements!$B$5:$B$106,$A36,Engagements!$F$5:$F$106,'Weights &amp; Assumptions'!$A$11))+'Weights &amp; Assumptions'!$B$6*(COUNTIFS(Engagements!$B$5:$B$106,$A36,Engagements!$F$5:$F$106,"Acquisition")=0)*(VLOOKUP($A36,Customers!$A$5:$F$16,6,FALSE)=I$24)</f>
        <v/>
      </c>
      <c r="J36" s="112">
        <f>'Weights &amp; Assumptions'!$B$6*COUNTIFS(Engagements!$B$5:$B$106,$A36,Engagements!$D$5:$D$106,J$24,Engagements!$F$5:$F$106,'Weights &amp; Assumptions'!$A$6)/MAX(1,COUNTIFS(Engagements!$B$5:$B$106,$A36,Engagements!$F$5:$F$106,'Weights &amp; Assumptions'!$A$6))+'Weights &amp; Assumptions'!$B$7*COUNTIFS(Engagements!$B$5:$B$106,$A36,Engagements!$D$5:$D$106,J$24,Engagements!$F$5:$F$106,'Weights &amp; Assumptions'!$A$7)/MAX(1,COUNTIFS(Engagements!$B$5:$B$106,$A36,Engagements!$F$5:$F$106,'Weights &amp; Assumptions'!$A$7))+'Weights &amp; Assumptions'!$B$8*COUNTIFS(Engagements!$B$5:$B$106,$A36,Engagements!$D$5:$D$106,J$24,Engagements!$F$5:$F$106,'Weights &amp; Assumptions'!$A$8)/MAX(1,COUNTIFS(Engagements!$B$5:$B$106,$A36,Engagements!$F$5:$F$106,'Weights &amp; Assumptions'!$A$8))+'Weights &amp; Assumptions'!$B$9*COUNTIFS(Engagements!$B$5:$B$106,$A36,Engagements!$D$5:$D$106,J$24,Engagements!$F$5:$F$106,'Weights &amp; Assumptions'!$A$9)/MAX(1,COUNTIFS(Engagements!$B$5:$B$106,$A36,Engagements!$F$5:$F$106,'Weights &amp; Assumptions'!$A$9))+'Weights &amp; Assumptions'!$B$10*COUNTIFS(Engagements!$B$5:$B$106,$A36,Engagements!$D$5:$D$106,J$24,Engagements!$F$5:$F$106,'Weights &amp; Assumptions'!$A$10)/MAX(1,COUNTIFS(Engagements!$B$5:$B$106,$A36,Engagements!$F$5:$F$106,'Weights &amp; Assumptions'!$A$10))+'Weights &amp; Assumptions'!$B$11*COUNTIFS(Engagements!$B$5:$B$106,$A36,Engagements!$D$5:$D$106,J$24,Engagements!$F$5:$F$106,'Weights &amp; Assumptions'!$A$11)/MAX(1,COUNTIFS(Engagements!$B$5:$B$106,$A36,Engagements!$F$5:$F$106,'Weights &amp; Assumptions'!$A$11))+'Weights &amp; Assumptions'!$B$6*(COUNTIFS(Engagements!$B$5:$B$106,$A36,Engagements!$F$5:$F$106,"Acquisition")=0)*(VLOOKUP($A36,Customers!$A$5:$F$16,6,FALSE)=J$24)</f>
        <v/>
      </c>
      <c r="K36" s="112">
        <f>'Weights &amp; Assumptions'!$B$6*COUNTIFS(Engagements!$B$5:$B$106,$A36,Engagements!$D$5:$D$106,K$24,Engagements!$F$5:$F$106,'Weights &amp; Assumptions'!$A$6)/MAX(1,COUNTIFS(Engagements!$B$5:$B$106,$A36,Engagements!$F$5:$F$106,'Weights &amp; Assumptions'!$A$6))+'Weights &amp; Assumptions'!$B$7*COUNTIFS(Engagements!$B$5:$B$106,$A36,Engagements!$D$5:$D$106,K$24,Engagements!$F$5:$F$106,'Weights &amp; Assumptions'!$A$7)/MAX(1,COUNTIFS(Engagements!$B$5:$B$106,$A36,Engagements!$F$5:$F$106,'Weights &amp; Assumptions'!$A$7))+'Weights &amp; Assumptions'!$B$8*COUNTIFS(Engagements!$B$5:$B$106,$A36,Engagements!$D$5:$D$106,K$24,Engagements!$F$5:$F$106,'Weights &amp; Assumptions'!$A$8)/MAX(1,COUNTIFS(Engagements!$B$5:$B$106,$A36,Engagements!$F$5:$F$106,'Weights &amp; Assumptions'!$A$8))+'Weights &amp; Assumptions'!$B$9*COUNTIFS(Engagements!$B$5:$B$106,$A36,Engagements!$D$5:$D$106,K$24,Engagements!$F$5:$F$106,'Weights &amp; Assumptions'!$A$9)/MAX(1,COUNTIFS(Engagements!$B$5:$B$106,$A36,Engagements!$F$5:$F$106,'Weights &amp; Assumptions'!$A$9))+'Weights &amp; Assumptions'!$B$10*COUNTIFS(Engagements!$B$5:$B$106,$A36,Engagements!$D$5:$D$106,K$24,Engagements!$F$5:$F$106,'Weights &amp; Assumptions'!$A$10)/MAX(1,COUNTIFS(Engagements!$B$5:$B$106,$A36,Engagements!$F$5:$F$106,'Weights &amp; Assumptions'!$A$10))+'Weights &amp; Assumptions'!$B$11*COUNTIFS(Engagements!$B$5:$B$106,$A36,Engagements!$D$5:$D$106,K$24,Engagements!$F$5:$F$106,'Weights &amp; Assumptions'!$A$11)/MAX(1,COUNTIFS(Engagements!$B$5:$B$106,$A36,Engagements!$F$5:$F$106,'Weights &amp; Assumptions'!$A$11))+'Weights &amp; Assumptions'!$B$6*(COUNTIFS(Engagements!$B$5:$B$106,$A36,Engagements!$F$5:$F$106,"Acquisition")=0)*(VLOOKUP($A36,Customers!$A$5:$F$16,6,FALSE)=K$24)</f>
        <v/>
      </c>
      <c r="L36" s="112">
        <f>'Weights &amp; Assumptions'!$B$6*COUNTIFS(Engagements!$B$5:$B$106,$A36,Engagements!$D$5:$D$106,L$24,Engagements!$F$5:$F$106,'Weights &amp; Assumptions'!$A$6)/MAX(1,COUNTIFS(Engagements!$B$5:$B$106,$A36,Engagements!$F$5:$F$106,'Weights &amp; Assumptions'!$A$6))+'Weights &amp; Assumptions'!$B$7*COUNTIFS(Engagements!$B$5:$B$106,$A36,Engagements!$D$5:$D$106,L$24,Engagements!$F$5:$F$106,'Weights &amp; Assumptions'!$A$7)/MAX(1,COUNTIFS(Engagements!$B$5:$B$106,$A36,Engagements!$F$5:$F$106,'Weights &amp; Assumptions'!$A$7))+'Weights &amp; Assumptions'!$B$8*COUNTIFS(Engagements!$B$5:$B$106,$A36,Engagements!$D$5:$D$106,L$24,Engagements!$F$5:$F$106,'Weights &amp; Assumptions'!$A$8)/MAX(1,COUNTIFS(Engagements!$B$5:$B$106,$A36,Engagements!$F$5:$F$106,'Weights &amp; Assumptions'!$A$8))+'Weights &amp; Assumptions'!$B$9*COUNTIFS(Engagements!$B$5:$B$106,$A36,Engagements!$D$5:$D$106,L$24,Engagements!$F$5:$F$106,'Weights &amp; Assumptions'!$A$9)/MAX(1,COUNTIFS(Engagements!$B$5:$B$106,$A36,Engagements!$F$5:$F$106,'Weights &amp; Assumptions'!$A$9))+'Weights &amp; Assumptions'!$B$10*COUNTIFS(Engagements!$B$5:$B$106,$A36,Engagements!$D$5:$D$106,L$24,Engagements!$F$5:$F$106,'Weights &amp; Assumptions'!$A$10)/MAX(1,COUNTIFS(Engagements!$B$5:$B$106,$A36,Engagements!$F$5:$F$106,'Weights &amp; Assumptions'!$A$10))+'Weights &amp; Assumptions'!$B$11*COUNTIFS(Engagements!$B$5:$B$106,$A36,Engagements!$D$5:$D$106,L$24,Engagements!$F$5:$F$106,'Weights &amp; Assumptions'!$A$11)/MAX(1,COUNTIFS(Engagements!$B$5:$B$106,$A36,Engagements!$F$5:$F$106,'Weights &amp; Assumptions'!$A$11))+'Weights &amp; Assumptions'!$B$6*(COUNTIFS(Engagements!$B$5:$B$106,$A36,Engagements!$F$5:$F$106,"Acquisition")=0)*(VLOOKUP($A36,Customers!$A$5:$F$16,6,FALSE)=L$24)</f>
        <v/>
      </c>
      <c r="M36" s="112">
        <f>'Weights &amp; Assumptions'!$B$6*COUNTIFS(Engagements!$B$5:$B$106,$A36,Engagements!$D$5:$D$106,M$24,Engagements!$F$5:$F$106,'Weights &amp; Assumptions'!$A$6)/MAX(1,COUNTIFS(Engagements!$B$5:$B$106,$A36,Engagements!$F$5:$F$106,'Weights &amp; Assumptions'!$A$6))+'Weights &amp; Assumptions'!$B$7*COUNTIFS(Engagements!$B$5:$B$106,$A36,Engagements!$D$5:$D$106,M$24,Engagements!$F$5:$F$106,'Weights &amp; Assumptions'!$A$7)/MAX(1,COUNTIFS(Engagements!$B$5:$B$106,$A36,Engagements!$F$5:$F$106,'Weights &amp; Assumptions'!$A$7))+'Weights &amp; Assumptions'!$B$8*COUNTIFS(Engagements!$B$5:$B$106,$A36,Engagements!$D$5:$D$106,M$24,Engagements!$F$5:$F$106,'Weights &amp; Assumptions'!$A$8)/MAX(1,COUNTIFS(Engagements!$B$5:$B$106,$A36,Engagements!$F$5:$F$106,'Weights &amp; Assumptions'!$A$8))+'Weights &amp; Assumptions'!$B$9*COUNTIFS(Engagements!$B$5:$B$106,$A36,Engagements!$D$5:$D$106,M$24,Engagements!$F$5:$F$106,'Weights &amp; Assumptions'!$A$9)/MAX(1,COUNTIFS(Engagements!$B$5:$B$106,$A36,Engagements!$F$5:$F$106,'Weights &amp; Assumptions'!$A$9))+'Weights &amp; Assumptions'!$B$10*COUNTIFS(Engagements!$B$5:$B$106,$A36,Engagements!$D$5:$D$106,M$24,Engagements!$F$5:$F$106,'Weights &amp; Assumptions'!$A$10)/MAX(1,COUNTIFS(Engagements!$B$5:$B$106,$A36,Engagements!$F$5:$F$106,'Weights &amp; Assumptions'!$A$10))+'Weights &amp; Assumptions'!$B$11*COUNTIFS(Engagements!$B$5:$B$106,$A36,Engagements!$D$5:$D$106,M$24,Engagements!$F$5:$F$106,'Weights &amp; Assumptions'!$A$11)/MAX(1,COUNTIFS(Engagements!$B$5:$B$106,$A36,Engagements!$F$5:$F$106,'Weights &amp; Assumptions'!$A$11))+'Weights &amp; Assumptions'!$B$6*(COUNTIFS(Engagements!$B$5:$B$106,$A36,Engagements!$F$5:$F$106,"Acquisition")=0)*(VLOOKUP($A36,Customers!$A$5:$F$16,6,FALSE)=M$24)</f>
        <v/>
      </c>
      <c r="N36" s="112">
        <f>'Weights &amp; Assumptions'!$B$6*COUNTIFS(Engagements!$B$5:$B$106,$A36,Engagements!$D$5:$D$106,N$24,Engagements!$F$5:$F$106,'Weights &amp; Assumptions'!$A$6)/MAX(1,COUNTIFS(Engagements!$B$5:$B$106,$A36,Engagements!$F$5:$F$106,'Weights &amp; Assumptions'!$A$6))+'Weights &amp; Assumptions'!$B$7*COUNTIFS(Engagements!$B$5:$B$106,$A36,Engagements!$D$5:$D$106,N$24,Engagements!$F$5:$F$106,'Weights &amp; Assumptions'!$A$7)/MAX(1,COUNTIFS(Engagements!$B$5:$B$106,$A36,Engagements!$F$5:$F$106,'Weights &amp; Assumptions'!$A$7))+'Weights &amp; Assumptions'!$B$8*COUNTIFS(Engagements!$B$5:$B$106,$A36,Engagements!$D$5:$D$106,N$24,Engagements!$F$5:$F$106,'Weights &amp; Assumptions'!$A$8)/MAX(1,COUNTIFS(Engagements!$B$5:$B$106,$A36,Engagements!$F$5:$F$106,'Weights &amp; Assumptions'!$A$8))+'Weights &amp; Assumptions'!$B$9*COUNTIFS(Engagements!$B$5:$B$106,$A36,Engagements!$D$5:$D$106,N$24,Engagements!$F$5:$F$106,'Weights &amp; Assumptions'!$A$9)/MAX(1,COUNTIFS(Engagements!$B$5:$B$106,$A36,Engagements!$F$5:$F$106,'Weights &amp; Assumptions'!$A$9))+'Weights &amp; Assumptions'!$B$10*COUNTIFS(Engagements!$B$5:$B$106,$A36,Engagements!$D$5:$D$106,N$24,Engagements!$F$5:$F$106,'Weights &amp; Assumptions'!$A$10)/MAX(1,COUNTIFS(Engagements!$B$5:$B$106,$A36,Engagements!$F$5:$F$106,'Weights &amp; Assumptions'!$A$10))+'Weights &amp; Assumptions'!$B$11*COUNTIFS(Engagements!$B$5:$B$106,$A36,Engagements!$D$5:$D$106,N$24,Engagements!$F$5:$F$106,'Weights &amp; Assumptions'!$A$11)/MAX(1,COUNTIFS(Engagements!$B$5:$B$106,$A36,Engagements!$F$5:$F$106,'Weights &amp; Assumptions'!$A$11))+'Weights &amp; Assumptions'!$B$6*(COUNTIFS(Engagements!$B$5:$B$106,$A36,Engagements!$F$5:$F$106,"Acquisition")=0)*(VLOOKUP($A36,Customers!$A$5:$F$16,6,FALSE)=N$24)</f>
        <v/>
      </c>
      <c r="O36" s="76">
        <f>ROUND(SUM(C36:N36),1)</f>
        <v/>
      </c>
      <c r="P36" s="76">
        <f>ROUND('Weights &amp; Assumptions'!$B$12-O36,1)</f>
        <v/>
      </c>
    </row>
    <row r="37">
      <c r="A37" s="73" t="inlineStr">
        <is>
          <t>Customers touched</t>
        </is>
      </c>
      <c r="C37" s="113">
        <f>COUNTIF(C25:C36,"&gt;0")</f>
        <v/>
      </c>
      <c r="D37" s="113">
        <f>COUNTIF(D25:D36,"&gt;0")</f>
        <v/>
      </c>
      <c r="E37" s="113">
        <f>COUNTIF(E25:E36,"&gt;0")</f>
        <v/>
      </c>
      <c r="F37" s="113">
        <f>COUNTIF(F25:F36,"&gt;0")</f>
        <v/>
      </c>
      <c r="G37" s="113">
        <f>COUNTIF(G25:G36,"&gt;0")</f>
        <v/>
      </c>
      <c r="H37" s="113">
        <f>COUNTIF(H25:H36,"&gt;0")</f>
        <v/>
      </c>
      <c r="I37" s="113">
        <f>COUNTIF(I25:I36,"&gt;0")</f>
        <v/>
      </c>
      <c r="J37" s="113">
        <f>COUNTIF(J25:J36,"&gt;0")</f>
        <v/>
      </c>
      <c r="K37" s="113">
        <f>COUNTIF(K25:K36,"&gt;0")</f>
        <v/>
      </c>
      <c r="L37" s="113">
        <f>COUNTIF(L25:L36,"&gt;0")</f>
        <v/>
      </c>
      <c r="M37" s="113">
        <f>COUNTIF(M25:M36,"&gt;0")</f>
        <v/>
      </c>
      <c r="N37" s="113">
        <f>COUNTIF(N25:N36,"&gt;0")</f>
        <v/>
      </c>
    </row>
    <row r="38">
      <c r="A38" s="73" t="inlineStr">
        <is>
          <t>Mean points per customer touched</t>
        </is>
      </c>
      <c r="C38" s="114">
        <f>IF(C37=0,0,ROUND(SUMIF(C25:C36,"&gt;0")/C37,2))</f>
        <v/>
      </c>
      <c r="D38" s="114">
        <f>IF(D37=0,0,ROUND(SUMIF(D25:D36,"&gt;0")/D37,2))</f>
        <v/>
      </c>
      <c r="E38" s="114">
        <f>IF(E37=0,0,ROUND(SUMIF(E25:E36,"&gt;0")/E37,2))</f>
        <v/>
      </c>
      <c r="F38" s="114">
        <f>IF(F37=0,0,ROUND(SUMIF(F25:F36,"&gt;0")/F37,2))</f>
        <v/>
      </c>
      <c r="G38" s="114">
        <f>IF(G37=0,0,ROUND(SUMIF(G25:G36,"&gt;0")/G37,2))</f>
        <v/>
      </c>
      <c r="H38" s="114">
        <f>IF(H37=0,0,ROUND(SUMIF(H25:H36,"&gt;0")/H37,2))</f>
        <v/>
      </c>
      <c r="I38" s="114">
        <f>IF(I37=0,0,ROUND(SUMIF(I25:I36,"&gt;0")/I37,2))</f>
        <v/>
      </c>
      <c r="J38" s="114">
        <f>IF(J37=0,0,ROUND(SUMIF(J25:J36,"&gt;0")/J37,2))</f>
        <v/>
      </c>
      <c r="K38" s="114">
        <f>IF(K37=0,0,ROUND(SUMIF(K25:K36,"&gt;0")/K37,2))</f>
        <v/>
      </c>
      <c r="L38" s="114">
        <f>IF(L37=0,0,ROUND(SUMIF(L25:L36,"&gt;0")/L37,2))</f>
        <v/>
      </c>
      <c r="M38" s="114">
        <f>IF(M37=0,0,ROUND(SUMIF(M25:M36,"&gt;0")/M37,2))</f>
        <v/>
      </c>
      <c r="N38" s="114">
        <f>IF(N37=0,0,ROUND(SUMIF(N25:N36,"&gt;0")/N37,2))</f>
        <v/>
      </c>
    </row>
    <row r="39">
      <c r="A39" s="73" t="inlineStr">
        <is>
          <t>Share of 15</t>
        </is>
      </c>
      <c r="C39" s="115">
        <f>C38/'Weights &amp; Assumptions'!$B$12</f>
        <v/>
      </c>
      <c r="D39" s="115">
        <f>D38/'Weights &amp; Assumptions'!$B$12</f>
        <v/>
      </c>
      <c r="E39" s="115">
        <f>E38/'Weights &amp; Assumptions'!$B$12</f>
        <v/>
      </c>
      <c r="F39" s="115">
        <f>F38/'Weights &amp; Assumptions'!$B$12</f>
        <v/>
      </c>
      <c r="G39" s="115">
        <f>G38/'Weights &amp; Assumptions'!$B$12</f>
        <v/>
      </c>
      <c r="H39" s="115">
        <f>H38/'Weights &amp; Assumptions'!$B$12</f>
        <v/>
      </c>
      <c r="I39" s="115">
        <f>I38/'Weights &amp; Assumptions'!$B$12</f>
        <v/>
      </c>
      <c r="J39" s="115">
        <f>J38/'Weights &amp; Assumptions'!$B$12</f>
        <v/>
      </c>
      <c r="K39" s="115">
        <f>K38/'Weights &amp; Assumptions'!$B$12</f>
        <v/>
      </c>
      <c r="L39" s="115">
        <f>L38/'Weights &amp; Assumptions'!$B$12</f>
        <v/>
      </c>
      <c r="M39" s="115">
        <f>M38/'Weights &amp; Assumptions'!$B$12</f>
        <v/>
      </c>
      <c r="N39" s="115">
        <f>N38/'Weights &amp; Assumptions'!$B$12</f>
        <v/>
      </c>
    </row>
    <row r="41">
      <c r="A41" s="91" t="inlineStr">
        <is>
          <t>Per partner — the party mean</t>
        </is>
      </c>
    </row>
    <row r="42">
      <c r="A42" s="5" t="inlineStr">
        <is>
          <t>Partner ID</t>
        </is>
      </c>
      <c r="B42" s="5" t="inlineStr">
        <is>
          <t>Partner Name</t>
        </is>
      </c>
      <c r="C42" s="5" t="inlineStr">
        <is>
          <t>Customers touched</t>
        </is>
      </c>
      <c r="D42" s="5" t="inlineStr">
        <is>
          <t>Mean points per customer touched</t>
        </is>
      </c>
      <c r="E42" s="5" t="inlineStr">
        <is>
          <t>Share of 15</t>
        </is>
      </c>
      <c r="F42" s="5" t="inlineStr">
        <is>
          <t>Rank</t>
        </is>
      </c>
    </row>
    <row r="43">
      <c r="A43" s="73" t="inlineStr">
        <is>
          <t>P001</t>
        </is>
      </c>
      <c r="B43" s="73">
        <f>VLOOKUP(A43,Partners!$A$5:$B$16,2,FALSE)</f>
        <v/>
      </c>
      <c r="C43" s="113">
        <f>INDEX($C$37:$N$37,MATCH($A43,$C$24:$N$24,0))</f>
        <v/>
      </c>
      <c r="D43" s="114">
        <f>INDEX($C$38:$N$38,MATCH($A43,$C$24:$N$24,0))</f>
        <v/>
      </c>
      <c r="E43" s="115">
        <f>D43/'Weights &amp; Assumptions'!$B$12</f>
        <v/>
      </c>
      <c r="F43" s="113">
        <f>RANK(D43,D$43:D$54,0)</f>
        <v/>
      </c>
    </row>
    <row r="44">
      <c r="A44" s="73" t="inlineStr">
        <is>
          <t>P002</t>
        </is>
      </c>
      <c r="B44" s="73">
        <f>VLOOKUP(A44,Partners!$A$5:$B$16,2,FALSE)</f>
        <v/>
      </c>
      <c r="C44" s="113">
        <f>INDEX($C$37:$N$37,MATCH($A44,$C$24:$N$24,0))</f>
        <v/>
      </c>
      <c r="D44" s="114">
        <f>INDEX($C$38:$N$38,MATCH($A44,$C$24:$N$24,0))</f>
        <v/>
      </c>
      <c r="E44" s="115">
        <f>D44/'Weights &amp; Assumptions'!$B$12</f>
        <v/>
      </c>
      <c r="F44" s="113">
        <f>RANK(D44,D$43:D$54,0)</f>
        <v/>
      </c>
    </row>
    <row r="45">
      <c r="A45" s="73" t="inlineStr">
        <is>
          <t>P003</t>
        </is>
      </c>
      <c r="B45" s="73">
        <f>VLOOKUP(A45,Partners!$A$5:$B$16,2,FALSE)</f>
        <v/>
      </c>
      <c r="C45" s="113">
        <f>INDEX($C$37:$N$37,MATCH($A45,$C$24:$N$24,0))</f>
        <v/>
      </c>
      <c r="D45" s="114">
        <f>INDEX($C$38:$N$38,MATCH($A45,$C$24:$N$24,0))</f>
        <v/>
      </c>
      <c r="E45" s="115">
        <f>D45/'Weights &amp; Assumptions'!$B$12</f>
        <v/>
      </c>
      <c r="F45" s="113">
        <f>RANK(D45,D$43:D$54,0)</f>
        <v/>
      </c>
    </row>
    <row r="46">
      <c r="A46" s="73" t="inlineStr">
        <is>
          <t>P004</t>
        </is>
      </c>
      <c r="B46" s="73">
        <f>VLOOKUP(A46,Partners!$A$5:$B$16,2,FALSE)</f>
        <v/>
      </c>
      <c r="C46" s="113">
        <f>INDEX($C$37:$N$37,MATCH($A46,$C$24:$N$24,0))</f>
        <v/>
      </c>
      <c r="D46" s="114">
        <f>INDEX($C$38:$N$38,MATCH($A46,$C$24:$N$24,0))</f>
        <v/>
      </c>
      <c r="E46" s="115">
        <f>D46/'Weights &amp; Assumptions'!$B$12</f>
        <v/>
      </c>
      <c r="F46" s="113">
        <f>RANK(D46,D$43:D$54,0)</f>
        <v/>
      </c>
    </row>
    <row r="47">
      <c r="A47" s="73" t="inlineStr">
        <is>
          <t>P005</t>
        </is>
      </c>
      <c r="B47" s="73">
        <f>VLOOKUP(A47,Partners!$A$5:$B$16,2,FALSE)</f>
        <v/>
      </c>
      <c r="C47" s="113">
        <f>INDEX($C$37:$N$37,MATCH($A47,$C$24:$N$24,0))</f>
        <v/>
      </c>
      <c r="D47" s="114">
        <f>INDEX($C$38:$N$38,MATCH($A47,$C$24:$N$24,0))</f>
        <v/>
      </c>
      <c r="E47" s="115">
        <f>D47/'Weights &amp; Assumptions'!$B$12</f>
        <v/>
      </c>
      <c r="F47" s="113">
        <f>RANK(D47,D$43:D$54,0)</f>
        <v/>
      </c>
    </row>
    <row r="48">
      <c r="A48" s="73" t="inlineStr">
        <is>
          <t>P006</t>
        </is>
      </c>
      <c r="B48" s="73">
        <f>VLOOKUP(A48,Partners!$A$5:$B$16,2,FALSE)</f>
        <v/>
      </c>
      <c r="C48" s="113">
        <f>INDEX($C$37:$N$37,MATCH($A48,$C$24:$N$24,0))</f>
        <v/>
      </c>
      <c r="D48" s="114">
        <f>INDEX($C$38:$N$38,MATCH($A48,$C$24:$N$24,0))</f>
        <v/>
      </c>
      <c r="E48" s="115">
        <f>D48/'Weights &amp; Assumptions'!$B$12</f>
        <v/>
      </c>
      <c r="F48" s="113">
        <f>RANK(D48,D$43:D$54,0)</f>
        <v/>
      </c>
    </row>
    <row r="49">
      <c r="A49" s="73" t="inlineStr">
        <is>
          <t>P007</t>
        </is>
      </c>
      <c r="B49" s="73">
        <f>VLOOKUP(A49,Partners!$A$5:$B$16,2,FALSE)</f>
        <v/>
      </c>
      <c r="C49" s="113">
        <f>INDEX($C$37:$N$37,MATCH($A49,$C$24:$N$24,0))</f>
        <v/>
      </c>
      <c r="D49" s="114">
        <f>INDEX($C$38:$N$38,MATCH($A49,$C$24:$N$24,0))</f>
        <v/>
      </c>
      <c r="E49" s="115">
        <f>D49/'Weights &amp; Assumptions'!$B$12</f>
        <v/>
      </c>
      <c r="F49" s="113">
        <f>RANK(D49,D$43:D$54,0)</f>
        <v/>
      </c>
    </row>
    <row r="50">
      <c r="A50" s="73" t="inlineStr">
        <is>
          <t>P008</t>
        </is>
      </c>
      <c r="B50" s="73">
        <f>VLOOKUP(A50,Partners!$A$5:$B$16,2,FALSE)</f>
        <v/>
      </c>
      <c r="C50" s="113">
        <f>INDEX($C$37:$N$37,MATCH($A50,$C$24:$N$24,0))</f>
        <v/>
      </c>
      <c r="D50" s="114">
        <f>INDEX($C$38:$N$38,MATCH($A50,$C$24:$N$24,0))</f>
        <v/>
      </c>
      <c r="E50" s="115">
        <f>D50/'Weights &amp; Assumptions'!$B$12</f>
        <v/>
      </c>
      <c r="F50" s="113">
        <f>RANK(D50,D$43:D$54,0)</f>
        <v/>
      </c>
    </row>
    <row r="51">
      <c r="A51" s="73" t="inlineStr">
        <is>
          <t>P009</t>
        </is>
      </c>
      <c r="B51" s="73">
        <f>VLOOKUP(A51,Partners!$A$5:$B$16,2,FALSE)</f>
        <v/>
      </c>
      <c r="C51" s="113">
        <f>INDEX($C$37:$N$37,MATCH($A51,$C$24:$N$24,0))</f>
        <v/>
      </c>
      <c r="D51" s="114">
        <f>INDEX($C$38:$N$38,MATCH($A51,$C$24:$N$24,0))</f>
        <v/>
      </c>
      <c r="E51" s="115">
        <f>D51/'Weights &amp; Assumptions'!$B$12</f>
        <v/>
      </c>
      <c r="F51" s="113">
        <f>RANK(D51,D$43:D$54,0)</f>
        <v/>
      </c>
    </row>
    <row r="52">
      <c r="A52" s="73" t="inlineStr">
        <is>
          <t>P010</t>
        </is>
      </c>
      <c r="B52" s="73">
        <f>VLOOKUP(A52,Partners!$A$5:$B$16,2,FALSE)</f>
        <v/>
      </c>
      <c r="C52" s="113">
        <f>INDEX($C$37:$N$37,MATCH($A52,$C$24:$N$24,0))</f>
        <v/>
      </c>
      <c r="D52" s="114">
        <f>INDEX($C$38:$N$38,MATCH($A52,$C$24:$N$24,0))</f>
        <v/>
      </c>
      <c r="E52" s="115">
        <f>D52/'Weights &amp; Assumptions'!$B$12</f>
        <v/>
      </c>
      <c r="F52" s="113">
        <f>RANK(D52,D$43:D$54,0)</f>
        <v/>
      </c>
    </row>
    <row r="53">
      <c r="A53" s="73" t="inlineStr">
        <is>
          <t>P011</t>
        </is>
      </c>
      <c r="B53" s="73">
        <f>VLOOKUP(A53,Partners!$A$5:$B$16,2,FALSE)</f>
        <v/>
      </c>
      <c r="C53" s="113">
        <f>INDEX($C$37:$N$37,MATCH($A53,$C$24:$N$24,0))</f>
        <v/>
      </c>
      <c r="D53" s="114">
        <f>INDEX($C$38:$N$38,MATCH($A53,$C$24:$N$24,0))</f>
        <v/>
      </c>
      <c r="E53" s="115">
        <f>D53/'Weights &amp; Assumptions'!$B$12</f>
        <v/>
      </c>
      <c r="F53" s="113">
        <f>RANK(D53,D$43:D$54,0)</f>
        <v/>
      </c>
    </row>
    <row r="54">
      <c r="A54" s="73" t="inlineStr">
        <is>
          <t>P012</t>
        </is>
      </c>
      <c r="B54" s="73">
        <f>VLOOKUP(A54,Partners!$A$5:$B$16,2,FALSE)</f>
        <v/>
      </c>
      <c r="C54" s="113">
        <f>INDEX($C$37:$N$37,MATCH($A54,$C$24:$N$24,0))</f>
        <v/>
      </c>
      <c r="D54" s="114">
        <f>INDEX($C$38:$N$38,MATCH($A54,$C$24:$N$24,0))</f>
        <v/>
      </c>
      <c r="E54" s="115">
        <f>D54/'Weights &amp; Assumptions'!$B$12</f>
        <v/>
      </c>
      <c r="F54" s="113">
        <f>RANK(D54,D$43:D$54,0)</f>
        <v/>
      </c>
    </row>
    <row r="56">
      <c r="A56" s="101" t="inlineStr">
        <is>
          <t>Read: a partner whose mean is near 1 is being seen at acquisition only — judged on one-fifteenth of the value they could create.</t>
        </is>
      </c>
    </row>
  </sheetData>
  <mergeCells count="14">
    <mergeCell ref="A19:C19"/>
    <mergeCell ref="D17:N17"/>
    <mergeCell ref="D20:N20"/>
    <mergeCell ref="D16:N16"/>
    <mergeCell ref="A2:N2"/>
    <mergeCell ref="D19:N19"/>
    <mergeCell ref="A17:C17"/>
    <mergeCell ref="A18:C18"/>
    <mergeCell ref="A15:N15"/>
    <mergeCell ref="A23:N23"/>
    <mergeCell ref="A20:C20"/>
    <mergeCell ref="D18:N18"/>
    <mergeCell ref="A16:C16"/>
    <mergeCell ref="A1:N1"/>
  </mergeCells>
  <pageMargins left="0.75" right="0.75" top="1" bottom="1" header="0.511811023622047" footer="0.511811023622047"/>
  <pageSetup orientation="portrait" paperSize="9" horizontalDpi="300" verticalDpi="300"/>
</worksheet>
</file>

<file path=xl/worksheets/sheet17.xml><?xml version="1.0" encoding="utf-8"?>
<worksheet xmlns="http://schemas.openxmlformats.org/spreadsheetml/2006/main">
  <sheetPr>
    <tabColor rgb="FFE74C3C"/>
    <outlinePr summaryBelow="1" summaryRight="1"/>
    <pageSetUpPr/>
  </sheetPr>
  <dimension ref="A1:F22"/>
  <sheetViews>
    <sheetView zoomScaleNormal="100" workbookViewId="0">
      <selection activeCell="A1" sqref="A1:F1"/>
    </sheetView>
  </sheetViews>
  <sheetFormatPr baseColWidth="8" defaultColWidth="8.7109375" defaultRowHeight="15"/>
  <cols>
    <col width="12" customWidth="1" min="1" max="1"/>
    <col width="22" customWidth="1" min="2" max="2"/>
    <col width="16" customWidth="1" min="3" max="3"/>
    <col width="12" customWidth="1" min="4" max="4"/>
    <col width="16" customWidth="1" min="5" max="6"/>
  </cols>
  <sheetData>
    <row r="1" ht="17.25" customHeight="1">
      <c r="A1" s="93" t="inlineStr">
        <is>
          <t>Customer-First Value Impact Model</t>
        </is>
      </c>
    </row>
    <row r="2" ht="15" customHeight="1">
      <c r="A2" s="94" t="inlineStr">
        <is>
          <t>What-if: if every customer reached 'Healthy' (CSI ≥ 6, Weights &amp; Assumptions) or better, what would the LTV uplift be? Withheld scores are lifted to Healthy for the scenario.</t>
        </is>
      </c>
    </row>
    <row r="4" ht="26.25" customHeight="1">
      <c r="A4" s="5" t="inlineStr">
        <is>
          <t>Customer ID</t>
        </is>
      </c>
      <c r="B4" s="5" t="inlineStr">
        <is>
          <t>Customer Name</t>
        </is>
      </c>
      <c r="C4" s="5" t="inlineStr">
        <is>
          <t>Current LTV ($)</t>
        </is>
      </c>
      <c r="D4" s="5" t="inlineStr">
        <is>
          <t>Target CSI (0–10)</t>
        </is>
      </c>
      <c r="E4" s="5" t="inlineStr">
        <is>
          <t>Target LTV ($)</t>
        </is>
      </c>
      <c r="F4" s="5" t="inlineStr">
        <is>
          <t>LTV Uplift ($)</t>
        </is>
      </c>
    </row>
    <row r="5" ht="15" customHeight="1">
      <c r="A5" s="9">
        <f>'Combined Dashboard'!A5</f>
        <v/>
      </c>
      <c r="B5" s="9">
        <f>'Combined Dashboard'!B5</f>
        <v/>
      </c>
      <c r="C5" s="65">
        <f>'Combined Dashboard'!N5</f>
        <v/>
      </c>
      <c r="D5" s="110">
        <f>IF(ISNUMBER('Combined Dashboard'!I5),MAX('Combined Dashboard'!I5,'Weights &amp; Assumptions'!$B$46),'Weights &amp; Assumptions'!$B$46)</f>
        <v/>
      </c>
      <c r="E5" s="65">
        <f>'Combined Dashboard'!L5*IF(D5&gt;='Weights &amp; Assumptions'!$B$45,'Weights &amp; Assumptions'!$B$31,IF(D5&gt;='Weights &amp; Assumptions'!$B$46,'Weights &amp; Assumptions'!$B$32,'Weights &amp; Assumptions'!$B$33))</f>
        <v/>
      </c>
      <c r="F5" s="65">
        <f>MAX(E5-C5,0)</f>
        <v/>
      </c>
    </row>
    <row r="6" ht="15" customHeight="1">
      <c r="A6" s="66">
        <f>'Combined Dashboard'!A6</f>
        <v/>
      </c>
      <c r="B6" s="66">
        <f>'Combined Dashboard'!B6</f>
        <v/>
      </c>
      <c r="C6" s="70">
        <f>'Combined Dashboard'!N6</f>
        <v/>
      </c>
      <c r="D6" s="111">
        <f>IF(ISNUMBER('Combined Dashboard'!I6),MAX('Combined Dashboard'!I6,'Weights &amp; Assumptions'!$B$46),'Weights &amp; Assumptions'!$B$46)</f>
        <v/>
      </c>
      <c r="E6" s="70">
        <f>'Combined Dashboard'!L6*IF(D6&gt;='Weights &amp; Assumptions'!$B$45,'Weights &amp; Assumptions'!$B$31,IF(D6&gt;='Weights &amp; Assumptions'!$B$46,'Weights &amp; Assumptions'!$B$32,'Weights &amp; Assumptions'!$B$33))</f>
        <v/>
      </c>
      <c r="F6" s="70">
        <f>MAX(E6-C6,0)</f>
        <v/>
      </c>
    </row>
    <row r="7" ht="15" customHeight="1">
      <c r="A7" s="9">
        <f>'Combined Dashboard'!A7</f>
        <v/>
      </c>
      <c r="B7" s="9">
        <f>'Combined Dashboard'!B7</f>
        <v/>
      </c>
      <c r="C7" s="65">
        <f>'Combined Dashboard'!N7</f>
        <v/>
      </c>
      <c r="D7" s="110">
        <f>IF(ISNUMBER('Combined Dashboard'!I7),MAX('Combined Dashboard'!I7,'Weights &amp; Assumptions'!$B$46),'Weights &amp; Assumptions'!$B$46)</f>
        <v/>
      </c>
      <c r="E7" s="65">
        <f>'Combined Dashboard'!L7*IF(D7&gt;='Weights &amp; Assumptions'!$B$45,'Weights &amp; Assumptions'!$B$31,IF(D7&gt;='Weights &amp; Assumptions'!$B$46,'Weights &amp; Assumptions'!$B$32,'Weights &amp; Assumptions'!$B$33))</f>
        <v/>
      </c>
      <c r="F7" s="65">
        <f>MAX(E7-C7,0)</f>
        <v/>
      </c>
    </row>
    <row r="8" ht="15" customHeight="1">
      <c r="A8" s="66">
        <f>'Combined Dashboard'!A8</f>
        <v/>
      </c>
      <c r="B8" s="66">
        <f>'Combined Dashboard'!B8</f>
        <v/>
      </c>
      <c r="C8" s="70">
        <f>'Combined Dashboard'!N8</f>
        <v/>
      </c>
      <c r="D8" s="111">
        <f>IF(ISNUMBER('Combined Dashboard'!I8),MAX('Combined Dashboard'!I8,'Weights &amp; Assumptions'!$B$46),'Weights &amp; Assumptions'!$B$46)</f>
        <v/>
      </c>
      <c r="E8" s="70">
        <f>'Combined Dashboard'!L8*IF(D8&gt;='Weights &amp; Assumptions'!$B$45,'Weights &amp; Assumptions'!$B$31,IF(D8&gt;='Weights &amp; Assumptions'!$B$46,'Weights &amp; Assumptions'!$B$32,'Weights &amp; Assumptions'!$B$33))</f>
        <v/>
      </c>
      <c r="F8" s="70">
        <f>MAX(E8-C8,0)</f>
        <v/>
      </c>
    </row>
    <row r="9" ht="15" customHeight="1">
      <c r="A9" s="9">
        <f>'Combined Dashboard'!A9</f>
        <v/>
      </c>
      <c r="B9" s="9">
        <f>'Combined Dashboard'!B9</f>
        <v/>
      </c>
      <c r="C9" s="65">
        <f>'Combined Dashboard'!N9</f>
        <v/>
      </c>
      <c r="D9" s="110">
        <f>IF(ISNUMBER('Combined Dashboard'!I9),MAX('Combined Dashboard'!I9,'Weights &amp; Assumptions'!$B$46),'Weights &amp; Assumptions'!$B$46)</f>
        <v/>
      </c>
      <c r="E9" s="65">
        <f>'Combined Dashboard'!L9*IF(D9&gt;='Weights &amp; Assumptions'!$B$45,'Weights &amp; Assumptions'!$B$31,IF(D9&gt;='Weights &amp; Assumptions'!$B$46,'Weights &amp; Assumptions'!$B$32,'Weights &amp; Assumptions'!$B$33))</f>
        <v/>
      </c>
      <c r="F9" s="65">
        <f>MAX(E9-C9,0)</f>
        <v/>
      </c>
    </row>
    <row r="10" ht="15" customHeight="1">
      <c r="A10" s="66">
        <f>'Combined Dashboard'!A10</f>
        <v/>
      </c>
      <c r="B10" s="66">
        <f>'Combined Dashboard'!B10</f>
        <v/>
      </c>
      <c r="C10" s="70">
        <f>'Combined Dashboard'!N10</f>
        <v/>
      </c>
      <c r="D10" s="111">
        <f>IF(ISNUMBER('Combined Dashboard'!I10),MAX('Combined Dashboard'!I10,'Weights &amp; Assumptions'!$B$46),'Weights &amp; Assumptions'!$B$46)</f>
        <v/>
      </c>
      <c r="E10" s="70">
        <f>'Combined Dashboard'!L10*IF(D10&gt;='Weights &amp; Assumptions'!$B$45,'Weights &amp; Assumptions'!$B$31,IF(D10&gt;='Weights &amp; Assumptions'!$B$46,'Weights &amp; Assumptions'!$B$32,'Weights &amp; Assumptions'!$B$33))</f>
        <v/>
      </c>
      <c r="F10" s="70">
        <f>MAX(E10-C10,0)</f>
        <v/>
      </c>
    </row>
    <row r="11" ht="15" customHeight="1">
      <c r="A11" s="9">
        <f>'Combined Dashboard'!A11</f>
        <v/>
      </c>
      <c r="B11" s="9">
        <f>'Combined Dashboard'!B11</f>
        <v/>
      </c>
      <c r="C11" s="65">
        <f>'Combined Dashboard'!N11</f>
        <v/>
      </c>
      <c r="D11" s="110">
        <f>IF(ISNUMBER('Combined Dashboard'!I11),MAX('Combined Dashboard'!I11,'Weights &amp; Assumptions'!$B$46),'Weights &amp; Assumptions'!$B$46)</f>
        <v/>
      </c>
      <c r="E11" s="65">
        <f>'Combined Dashboard'!L11*IF(D11&gt;='Weights &amp; Assumptions'!$B$45,'Weights &amp; Assumptions'!$B$31,IF(D11&gt;='Weights &amp; Assumptions'!$B$46,'Weights &amp; Assumptions'!$B$32,'Weights &amp; Assumptions'!$B$33))</f>
        <v/>
      </c>
      <c r="F11" s="65">
        <f>MAX(E11-C11,0)</f>
        <v/>
      </c>
    </row>
    <row r="12" ht="15" customHeight="1">
      <c r="A12" s="66">
        <f>'Combined Dashboard'!A12</f>
        <v/>
      </c>
      <c r="B12" s="66">
        <f>'Combined Dashboard'!B12</f>
        <v/>
      </c>
      <c r="C12" s="70">
        <f>'Combined Dashboard'!N12</f>
        <v/>
      </c>
      <c r="D12" s="111">
        <f>IF(ISNUMBER('Combined Dashboard'!I12),MAX('Combined Dashboard'!I12,'Weights &amp; Assumptions'!$B$46),'Weights &amp; Assumptions'!$B$46)</f>
        <v/>
      </c>
      <c r="E12" s="70">
        <f>'Combined Dashboard'!L12*IF(D12&gt;='Weights &amp; Assumptions'!$B$45,'Weights &amp; Assumptions'!$B$31,IF(D12&gt;='Weights &amp; Assumptions'!$B$46,'Weights &amp; Assumptions'!$B$32,'Weights &amp; Assumptions'!$B$33))</f>
        <v/>
      </c>
      <c r="F12" s="70">
        <f>MAX(E12-C12,0)</f>
        <v/>
      </c>
    </row>
    <row r="13" ht="15" customHeight="1">
      <c r="A13" s="9">
        <f>'Combined Dashboard'!A13</f>
        <v/>
      </c>
      <c r="B13" s="9">
        <f>'Combined Dashboard'!B13</f>
        <v/>
      </c>
      <c r="C13" s="65">
        <f>'Combined Dashboard'!N13</f>
        <v/>
      </c>
      <c r="D13" s="110">
        <f>IF(ISNUMBER('Combined Dashboard'!I13),MAX('Combined Dashboard'!I13,'Weights &amp; Assumptions'!$B$46),'Weights &amp; Assumptions'!$B$46)</f>
        <v/>
      </c>
      <c r="E13" s="65">
        <f>'Combined Dashboard'!L13*IF(D13&gt;='Weights &amp; Assumptions'!$B$45,'Weights &amp; Assumptions'!$B$31,IF(D13&gt;='Weights &amp; Assumptions'!$B$46,'Weights &amp; Assumptions'!$B$32,'Weights &amp; Assumptions'!$B$33))</f>
        <v/>
      </c>
      <c r="F13" s="65">
        <f>MAX(E13-C13,0)</f>
        <v/>
      </c>
    </row>
    <row r="14" ht="15" customHeight="1">
      <c r="A14" s="66">
        <f>'Combined Dashboard'!A14</f>
        <v/>
      </c>
      <c r="B14" s="66">
        <f>'Combined Dashboard'!B14</f>
        <v/>
      </c>
      <c r="C14" s="70">
        <f>'Combined Dashboard'!N14</f>
        <v/>
      </c>
      <c r="D14" s="111">
        <f>IF(ISNUMBER('Combined Dashboard'!I14),MAX('Combined Dashboard'!I14,'Weights &amp; Assumptions'!$B$46),'Weights &amp; Assumptions'!$B$46)</f>
        <v/>
      </c>
      <c r="E14" s="70">
        <f>'Combined Dashboard'!L14*IF(D14&gt;='Weights &amp; Assumptions'!$B$45,'Weights &amp; Assumptions'!$B$31,IF(D14&gt;='Weights &amp; Assumptions'!$B$46,'Weights &amp; Assumptions'!$B$32,'Weights &amp; Assumptions'!$B$33))</f>
        <v/>
      </c>
      <c r="F14" s="70">
        <f>MAX(E14-C14,0)</f>
        <v/>
      </c>
    </row>
    <row r="15" ht="15" customHeight="1">
      <c r="A15" s="9">
        <f>'Combined Dashboard'!A15</f>
        <v/>
      </c>
      <c r="B15" s="9">
        <f>'Combined Dashboard'!B15</f>
        <v/>
      </c>
      <c r="C15" s="65">
        <f>'Combined Dashboard'!N15</f>
        <v/>
      </c>
      <c r="D15" s="110">
        <f>IF(ISNUMBER('Combined Dashboard'!I15),MAX('Combined Dashboard'!I15,'Weights &amp; Assumptions'!$B$46),'Weights &amp; Assumptions'!$B$46)</f>
        <v/>
      </c>
      <c r="E15" s="65">
        <f>'Combined Dashboard'!L15*IF(D15&gt;='Weights &amp; Assumptions'!$B$45,'Weights &amp; Assumptions'!$B$31,IF(D15&gt;='Weights &amp; Assumptions'!$B$46,'Weights &amp; Assumptions'!$B$32,'Weights &amp; Assumptions'!$B$33))</f>
        <v/>
      </c>
      <c r="F15" s="65">
        <f>MAX(E15-C15,0)</f>
        <v/>
      </c>
    </row>
    <row r="16" ht="15" customHeight="1">
      <c r="A16" s="66">
        <f>'Combined Dashboard'!A16</f>
        <v/>
      </c>
      <c r="B16" s="66">
        <f>'Combined Dashboard'!B16</f>
        <v/>
      </c>
      <c r="C16" s="70">
        <f>'Combined Dashboard'!N16</f>
        <v/>
      </c>
      <c r="D16" s="111">
        <f>IF(ISNUMBER('Combined Dashboard'!I16),MAX('Combined Dashboard'!I16,'Weights &amp; Assumptions'!$B$46),'Weights &amp; Assumptions'!$B$46)</f>
        <v/>
      </c>
      <c r="E16" s="70">
        <f>'Combined Dashboard'!L16*IF(D16&gt;='Weights &amp; Assumptions'!$B$45,'Weights &amp; Assumptions'!$B$31,IF(D16&gt;='Weights &amp; Assumptions'!$B$46,'Weights &amp; Assumptions'!$B$32,'Weights &amp; Assumptions'!$B$33))</f>
        <v/>
      </c>
      <c r="F16" s="70">
        <f>MAX(E16-C16,0)</f>
        <v/>
      </c>
    </row>
    <row r="18" ht="15" customHeight="1">
      <c r="A18" s="91" t="inlineStr">
        <is>
          <t>Impact Summary</t>
        </is>
      </c>
    </row>
    <row r="19" ht="15" customHeight="1">
      <c r="A19" s="98" t="inlineStr">
        <is>
          <t>Current Total Portfolio LTV</t>
        </is>
      </c>
      <c r="D19" s="78">
        <f>SUM(C5:C16)</f>
        <v/>
      </c>
    </row>
    <row r="20" ht="15" customHeight="1">
      <c r="A20" s="98" t="inlineStr">
        <is>
          <t>Target Total Portfolio LTV</t>
        </is>
      </c>
      <c r="D20" s="78">
        <f>SUM(E5:E16)</f>
        <v/>
      </c>
    </row>
    <row r="21" ht="15" customHeight="1">
      <c r="A21" s="98" t="inlineStr">
        <is>
          <t>Total Potential LTV Uplift</t>
        </is>
      </c>
      <c r="D21" s="78">
        <f>SUM(F5:F16)</f>
        <v/>
      </c>
    </row>
    <row r="22" ht="15" customHeight="1">
      <c r="A22" s="98" t="inlineStr">
        <is>
          <t>Uplift as % of Current LTV</t>
        </is>
      </c>
      <c r="D22" s="79">
        <f>IFERROR(SUM(F5:F16)/SUM(C5:C16),0)</f>
        <v/>
      </c>
    </row>
  </sheetData>
  <mergeCells count="6">
    <mergeCell ref="A2:F2"/>
    <mergeCell ref="A19:C19"/>
    <mergeCell ref="A1:F1"/>
    <mergeCell ref="A22:C22"/>
    <mergeCell ref="A21:C21"/>
    <mergeCell ref="A20:C20"/>
  </mergeCells>
  <pageMargins left="0.75" right="0.75" top="1" bottom="1" header="0.511811023622047" footer="0.511811023622047"/>
  <pageSetup orientation="portrait" paperSize="9" horizontalDpi="300" verticalDpi="300"/>
</worksheet>
</file>

<file path=xl/worksheets/sheet18.xml><?xml version="1.0" encoding="utf-8"?>
<worksheet xmlns="http://schemas.openxmlformats.org/spreadsheetml/2006/main">
  <sheetPr>
    <tabColor rgb="FF2E7D32"/>
    <outlinePr summaryBelow="1" summaryRight="1"/>
    <pageSetUpPr/>
  </sheetPr>
  <dimension ref="A1:K50"/>
  <sheetViews>
    <sheetView showGridLines="0" workbookViewId="0">
      <selection activeCell="A1" sqref="A1"/>
    </sheetView>
  </sheetViews>
  <sheetFormatPr baseColWidth="8" defaultRowHeight="15"/>
  <cols>
    <col width="22" customWidth="1" min="1" max="1"/>
    <col width="9" customWidth="1" min="2" max="2"/>
    <col width="13" customWidth="1" min="3" max="3"/>
    <col width="13" customWidth="1" min="4" max="4"/>
    <col width="13" customWidth="1" min="5" max="5"/>
    <col width="13" customWidth="1" min="6" max="6"/>
    <col width="13" customWidth="1" min="7" max="7"/>
    <col width="13" customWidth="1" min="8" max="8"/>
    <col width="11" customWidth="1" min="9" max="9"/>
    <col hidden="1" width="6" customWidth="1" min="10" max="10"/>
    <col hidden="1" width="6" customWidth="1" min="11" max="11"/>
  </cols>
  <sheetData>
    <row r="1">
      <c r="A1" s="126" t="inlineStr">
        <is>
          <t>Recording stops after onboarding</t>
        </is>
      </c>
    </row>
    <row r="2">
      <c r="A2" s="127" t="inlineStr">
        <is>
          <t>Twelve customers, illustrative data. Rows ordered by ARR; status is shown beside, not linked.</t>
        </is>
      </c>
    </row>
    <row r="3" ht="20" customHeight="1">
      <c r="C3" s="128" t="inlineStr">
        <is>
          <t>Partner recorded in a system</t>
        </is>
      </c>
      <c r="E3" s="129" t="inlineStr">
        <is>
          <t>Customer named a partner, no record</t>
        </is>
      </c>
      <c r="G3" s="130" t="inlineStr">
        <is>
          <t>No partner at this stage</t>
        </is>
      </c>
    </row>
    <row r="5">
      <c r="A5" s="131" t="n"/>
      <c r="B5" s="131" t="n"/>
      <c r="C5" s="132" t="inlineStr">
        <is>
          <t>Acquisition</t>
        </is>
      </c>
      <c r="D5" s="132" t="inlineStr">
        <is>
          <t>Onboarding</t>
        </is>
      </c>
      <c r="E5" s="132" t="inlineStr">
        <is>
          <t>Adoption</t>
        </is>
      </c>
      <c r="F5" s="132" t="inlineStr">
        <is>
          <t>Retention</t>
        </is>
      </c>
      <c r="G5" s="132" t="inlineStr">
        <is>
          <t>Expansion</t>
        </is>
      </c>
      <c r="H5" s="132" t="inlineStr">
        <is>
          <t>Advocacy</t>
        </is>
      </c>
      <c r="I5" s="133" t="inlineStr">
        <is>
          <t>Status</t>
        </is>
      </c>
    </row>
    <row r="6" ht="26" customHeight="1">
      <c r="A6" s="134">
        <f>INDEX(Customers!$B$5:$B$16,MATCH(B6,Customers!$D$5:$D$16,0))</f>
        <v/>
      </c>
      <c r="B6" s="135">
        <f>LARGE(Customers!$D$5:$D$16,1)</f>
        <v/>
      </c>
      <c r="C6" s="136">
        <f>IF(COUNTIFS(Engagements!$B$5:$B$200,$J6,Engagements!$F$5:$F$200,C$5)=0,"None",IF(COUNTIFS(Engagements!$B$5:$B$200,$J6,Engagements!$F$5:$F$200,C$5)-COUNTIFS(Engagements!$B$5:$B$200,$J6,Engagements!$F$5:$F$200,C$5,Engagements!$O$5:$O$200,"Nowhere")-COUNTIFS(Engagements!$B$5:$B$200,$J6,Engagements!$F$5:$F$200,C$5,Engagements!$O$5:$O$200,"")&gt;0,"Recorded",IF(COUNTIFS(Engagements!$B$5:$B$200,$J6,Engagements!$F$5:$F$200,C$5,Engagements!$O$5:$O$200,"Nowhere")&gt;0,"Named, no record","Source not stated")))</f>
        <v/>
      </c>
      <c r="D6" s="136">
        <f>IF(COUNTIFS(Engagements!$B$5:$B$200,$J6,Engagements!$F$5:$F$200,D$5)=0,"None",IF(COUNTIFS(Engagements!$B$5:$B$200,$J6,Engagements!$F$5:$F$200,D$5)-COUNTIFS(Engagements!$B$5:$B$200,$J6,Engagements!$F$5:$F$200,D$5,Engagements!$O$5:$O$200,"Nowhere")-COUNTIFS(Engagements!$B$5:$B$200,$J6,Engagements!$F$5:$F$200,D$5,Engagements!$O$5:$O$200,"")&gt;0,"Recorded",IF(COUNTIFS(Engagements!$B$5:$B$200,$J6,Engagements!$F$5:$F$200,D$5,Engagements!$O$5:$O$200,"Nowhere")&gt;0,"Named, no record","Source not stated")))</f>
        <v/>
      </c>
      <c r="E6" s="136">
        <f>IF(COUNTIFS(Engagements!$B$5:$B$200,$J6,Engagements!$F$5:$F$200,E$5)=0,"None",IF(COUNTIFS(Engagements!$B$5:$B$200,$J6,Engagements!$F$5:$F$200,E$5)-COUNTIFS(Engagements!$B$5:$B$200,$J6,Engagements!$F$5:$F$200,E$5,Engagements!$O$5:$O$200,"Nowhere")-COUNTIFS(Engagements!$B$5:$B$200,$J6,Engagements!$F$5:$F$200,E$5,Engagements!$O$5:$O$200,"")&gt;0,"Recorded",IF(COUNTIFS(Engagements!$B$5:$B$200,$J6,Engagements!$F$5:$F$200,E$5,Engagements!$O$5:$O$200,"Nowhere")&gt;0,"Named, no record","Source not stated")))</f>
        <v/>
      </c>
      <c r="F6" s="136">
        <f>IF(COUNTIFS(Engagements!$B$5:$B$200,$J6,Engagements!$F$5:$F$200,F$5)=0,"None",IF(COUNTIFS(Engagements!$B$5:$B$200,$J6,Engagements!$F$5:$F$200,F$5)-COUNTIFS(Engagements!$B$5:$B$200,$J6,Engagements!$F$5:$F$200,F$5,Engagements!$O$5:$O$200,"Nowhere")-COUNTIFS(Engagements!$B$5:$B$200,$J6,Engagements!$F$5:$F$200,F$5,Engagements!$O$5:$O$200,"")&gt;0,"Recorded",IF(COUNTIFS(Engagements!$B$5:$B$200,$J6,Engagements!$F$5:$F$200,F$5,Engagements!$O$5:$O$200,"Nowhere")&gt;0,"Named, no record","Source not stated")))</f>
        <v/>
      </c>
      <c r="G6" s="136">
        <f>IF(COUNTIFS(Engagements!$B$5:$B$200,$J6,Engagements!$F$5:$F$200,G$5)=0,"None",IF(COUNTIFS(Engagements!$B$5:$B$200,$J6,Engagements!$F$5:$F$200,G$5)-COUNTIFS(Engagements!$B$5:$B$200,$J6,Engagements!$F$5:$F$200,G$5,Engagements!$O$5:$O$200,"Nowhere")-COUNTIFS(Engagements!$B$5:$B$200,$J6,Engagements!$F$5:$F$200,G$5,Engagements!$O$5:$O$200,"")&gt;0,"Recorded",IF(COUNTIFS(Engagements!$B$5:$B$200,$J6,Engagements!$F$5:$F$200,G$5,Engagements!$O$5:$O$200,"Nowhere")&gt;0,"Named, no record","Source not stated")))</f>
        <v/>
      </c>
      <c r="H6" s="136">
        <f>IF(COUNTIFS(Engagements!$B$5:$B$200,$J6,Engagements!$F$5:$F$200,H$5)=0,"None",IF(COUNTIFS(Engagements!$B$5:$B$200,$J6,Engagements!$F$5:$F$200,H$5)-COUNTIFS(Engagements!$B$5:$B$200,$J6,Engagements!$F$5:$F$200,H$5,Engagements!$O$5:$O$200,"Nowhere")-COUNTIFS(Engagements!$B$5:$B$200,$J6,Engagements!$F$5:$F$200,H$5,Engagements!$O$5:$O$200,"")&gt;0,"Recorded",IF(COUNTIFS(Engagements!$B$5:$B$200,$J6,Engagements!$F$5:$F$200,H$5,Engagements!$O$5:$O$200,"Nowhere")&gt;0,"Named, no record","Source not stated")))</f>
        <v/>
      </c>
      <c r="I6" s="137">
        <f>INDEX(Customers!$I$5:$I$16,MATCH(B6,Customers!$D$5:$D$16,0))</f>
        <v/>
      </c>
      <c r="J6">
        <f>INDEX(Customers!$A$5:$A$16,MATCH(B6,Customers!$D$5:$D$16,0))</f>
        <v/>
      </c>
      <c r="K6">
        <f>IF(COUNTIF(E6:H6,"Named, no record")&gt;0,B6,0)</f>
        <v/>
      </c>
    </row>
    <row r="7" ht="26" customHeight="1">
      <c r="A7" s="134">
        <f>INDEX(Customers!$B$5:$B$16,MATCH(B7,Customers!$D$5:$D$16,0))</f>
        <v/>
      </c>
      <c r="B7" s="135">
        <f>LARGE(Customers!$D$5:$D$16,2)</f>
        <v/>
      </c>
      <c r="C7" s="136">
        <f>IF(COUNTIFS(Engagements!$B$5:$B$200,$J7,Engagements!$F$5:$F$200,C$5)=0,"None",IF(COUNTIFS(Engagements!$B$5:$B$200,$J7,Engagements!$F$5:$F$200,C$5)-COUNTIFS(Engagements!$B$5:$B$200,$J7,Engagements!$F$5:$F$200,C$5,Engagements!$O$5:$O$200,"Nowhere")-COUNTIFS(Engagements!$B$5:$B$200,$J7,Engagements!$F$5:$F$200,C$5,Engagements!$O$5:$O$200,"")&gt;0,"Recorded",IF(COUNTIFS(Engagements!$B$5:$B$200,$J7,Engagements!$F$5:$F$200,C$5,Engagements!$O$5:$O$200,"Nowhere")&gt;0,"Named, no record","Source not stated")))</f>
        <v/>
      </c>
      <c r="D7" s="136">
        <f>IF(COUNTIFS(Engagements!$B$5:$B$200,$J7,Engagements!$F$5:$F$200,D$5)=0,"None",IF(COUNTIFS(Engagements!$B$5:$B$200,$J7,Engagements!$F$5:$F$200,D$5)-COUNTIFS(Engagements!$B$5:$B$200,$J7,Engagements!$F$5:$F$200,D$5,Engagements!$O$5:$O$200,"Nowhere")-COUNTIFS(Engagements!$B$5:$B$200,$J7,Engagements!$F$5:$F$200,D$5,Engagements!$O$5:$O$200,"")&gt;0,"Recorded",IF(COUNTIFS(Engagements!$B$5:$B$200,$J7,Engagements!$F$5:$F$200,D$5,Engagements!$O$5:$O$200,"Nowhere")&gt;0,"Named, no record","Source not stated")))</f>
        <v/>
      </c>
      <c r="E7" s="136">
        <f>IF(COUNTIFS(Engagements!$B$5:$B$200,$J7,Engagements!$F$5:$F$200,E$5)=0,"None",IF(COUNTIFS(Engagements!$B$5:$B$200,$J7,Engagements!$F$5:$F$200,E$5)-COUNTIFS(Engagements!$B$5:$B$200,$J7,Engagements!$F$5:$F$200,E$5,Engagements!$O$5:$O$200,"Nowhere")-COUNTIFS(Engagements!$B$5:$B$200,$J7,Engagements!$F$5:$F$200,E$5,Engagements!$O$5:$O$200,"")&gt;0,"Recorded",IF(COUNTIFS(Engagements!$B$5:$B$200,$J7,Engagements!$F$5:$F$200,E$5,Engagements!$O$5:$O$200,"Nowhere")&gt;0,"Named, no record","Source not stated")))</f>
        <v/>
      </c>
      <c r="F7" s="136">
        <f>IF(COUNTIFS(Engagements!$B$5:$B$200,$J7,Engagements!$F$5:$F$200,F$5)=0,"None",IF(COUNTIFS(Engagements!$B$5:$B$200,$J7,Engagements!$F$5:$F$200,F$5)-COUNTIFS(Engagements!$B$5:$B$200,$J7,Engagements!$F$5:$F$200,F$5,Engagements!$O$5:$O$200,"Nowhere")-COUNTIFS(Engagements!$B$5:$B$200,$J7,Engagements!$F$5:$F$200,F$5,Engagements!$O$5:$O$200,"")&gt;0,"Recorded",IF(COUNTIFS(Engagements!$B$5:$B$200,$J7,Engagements!$F$5:$F$200,F$5,Engagements!$O$5:$O$200,"Nowhere")&gt;0,"Named, no record","Source not stated")))</f>
        <v/>
      </c>
      <c r="G7" s="136">
        <f>IF(COUNTIFS(Engagements!$B$5:$B$200,$J7,Engagements!$F$5:$F$200,G$5)=0,"None",IF(COUNTIFS(Engagements!$B$5:$B$200,$J7,Engagements!$F$5:$F$200,G$5)-COUNTIFS(Engagements!$B$5:$B$200,$J7,Engagements!$F$5:$F$200,G$5,Engagements!$O$5:$O$200,"Nowhere")-COUNTIFS(Engagements!$B$5:$B$200,$J7,Engagements!$F$5:$F$200,G$5,Engagements!$O$5:$O$200,"")&gt;0,"Recorded",IF(COUNTIFS(Engagements!$B$5:$B$200,$J7,Engagements!$F$5:$F$200,G$5,Engagements!$O$5:$O$200,"Nowhere")&gt;0,"Named, no record","Source not stated")))</f>
        <v/>
      </c>
      <c r="H7" s="136">
        <f>IF(COUNTIFS(Engagements!$B$5:$B$200,$J7,Engagements!$F$5:$F$200,H$5)=0,"None",IF(COUNTIFS(Engagements!$B$5:$B$200,$J7,Engagements!$F$5:$F$200,H$5)-COUNTIFS(Engagements!$B$5:$B$200,$J7,Engagements!$F$5:$F$200,H$5,Engagements!$O$5:$O$200,"Nowhere")-COUNTIFS(Engagements!$B$5:$B$200,$J7,Engagements!$F$5:$F$200,H$5,Engagements!$O$5:$O$200,"")&gt;0,"Recorded",IF(COUNTIFS(Engagements!$B$5:$B$200,$J7,Engagements!$F$5:$F$200,H$5,Engagements!$O$5:$O$200,"Nowhere")&gt;0,"Named, no record","Source not stated")))</f>
        <v/>
      </c>
      <c r="I7" s="137">
        <f>INDEX(Customers!$I$5:$I$16,MATCH(B7,Customers!$D$5:$D$16,0))</f>
        <v/>
      </c>
      <c r="J7">
        <f>INDEX(Customers!$A$5:$A$16,MATCH(B7,Customers!$D$5:$D$16,0))</f>
        <v/>
      </c>
      <c r="K7">
        <f>IF(COUNTIF(E7:H7,"Named, no record")&gt;0,B7,0)</f>
        <v/>
      </c>
    </row>
    <row r="8" ht="26" customHeight="1">
      <c r="A8" s="134">
        <f>INDEX(Customers!$B$5:$B$16,MATCH(B8,Customers!$D$5:$D$16,0))</f>
        <v/>
      </c>
      <c r="B8" s="135">
        <f>LARGE(Customers!$D$5:$D$16,3)</f>
        <v/>
      </c>
      <c r="C8" s="136">
        <f>IF(COUNTIFS(Engagements!$B$5:$B$200,$J8,Engagements!$F$5:$F$200,C$5)=0,"None",IF(COUNTIFS(Engagements!$B$5:$B$200,$J8,Engagements!$F$5:$F$200,C$5)-COUNTIFS(Engagements!$B$5:$B$200,$J8,Engagements!$F$5:$F$200,C$5,Engagements!$O$5:$O$200,"Nowhere")-COUNTIFS(Engagements!$B$5:$B$200,$J8,Engagements!$F$5:$F$200,C$5,Engagements!$O$5:$O$200,"")&gt;0,"Recorded",IF(COUNTIFS(Engagements!$B$5:$B$200,$J8,Engagements!$F$5:$F$200,C$5,Engagements!$O$5:$O$200,"Nowhere")&gt;0,"Named, no record","Source not stated")))</f>
        <v/>
      </c>
      <c r="D8" s="136">
        <f>IF(COUNTIFS(Engagements!$B$5:$B$200,$J8,Engagements!$F$5:$F$200,D$5)=0,"None",IF(COUNTIFS(Engagements!$B$5:$B$200,$J8,Engagements!$F$5:$F$200,D$5)-COUNTIFS(Engagements!$B$5:$B$200,$J8,Engagements!$F$5:$F$200,D$5,Engagements!$O$5:$O$200,"Nowhere")-COUNTIFS(Engagements!$B$5:$B$200,$J8,Engagements!$F$5:$F$200,D$5,Engagements!$O$5:$O$200,"")&gt;0,"Recorded",IF(COUNTIFS(Engagements!$B$5:$B$200,$J8,Engagements!$F$5:$F$200,D$5,Engagements!$O$5:$O$200,"Nowhere")&gt;0,"Named, no record","Source not stated")))</f>
        <v/>
      </c>
      <c r="E8" s="136">
        <f>IF(COUNTIFS(Engagements!$B$5:$B$200,$J8,Engagements!$F$5:$F$200,E$5)=0,"None",IF(COUNTIFS(Engagements!$B$5:$B$200,$J8,Engagements!$F$5:$F$200,E$5)-COUNTIFS(Engagements!$B$5:$B$200,$J8,Engagements!$F$5:$F$200,E$5,Engagements!$O$5:$O$200,"Nowhere")-COUNTIFS(Engagements!$B$5:$B$200,$J8,Engagements!$F$5:$F$200,E$5,Engagements!$O$5:$O$200,"")&gt;0,"Recorded",IF(COUNTIFS(Engagements!$B$5:$B$200,$J8,Engagements!$F$5:$F$200,E$5,Engagements!$O$5:$O$200,"Nowhere")&gt;0,"Named, no record","Source not stated")))</f>
        <v/>
      </c>
      <c r="F8" s="136">
        <f>IF(COUNTIFS(Engagements!$B$5:$B$200,$J8,Engagements!$F$5:$F$200,F$5)=0,"None",IF(COUNTIFS(Engagements!$B$5:$B$200,$J8,Engagements!$F$5:$F$200,F$5)-COUNTIFS(Engagements!$B$5:$B$200,$J8,Engagements!$F$5:$F$200,F$5,Engagements!$O$5:$O$200,"Nowhere")-COUNTIFS(Engagements!$B$5:$B$200,$J8,Engagements!$F$5:$F$200,F$5,Engagements!$O$5:$O$200,"")&gt;0,"Recorded",IF(COUNTIFS(Engagements!$B$5:$B$200,$J8,Engagements!$F$5:$F$200,F$5,Engagements!$O$5:$O$200,"Nowhere")&gt;0,"Named, no record","Source not stated")))</f>
        <v/>
      </c>
      <c r="G8" s="136">
        <f>IF(COUNTIFS(Engagements!$B$5:$B$200,$J8,Engagements!$F$5:$F$200,G$5)=0,"None",IF(COUNTIFS(Engagements!$B$5:$B$200,$J8,Engagements!$F$5:$F$200,G$5)-COUNTIFS(Engagements!$B$5:$B$200,$J8,Engagements!$F$5:$F$200,G$5,Engagements!$O$5:$O$200,"Nowhere")-COUNTIFS(Engagements!$B$5:$B$200,$J8,Engagements!$F$5:$F$200,G$5,Engagements!$O$5:$O$200,"")&gt;0,"Recorded",IF(COUNTIFS(Engagements!$B$5:$B$200,$J8,Engagements!$F$5:$F$200,G$5,Engagements!$O$5:$O$200,"Nowhere")&gt;0,"Named, no record","Source not stated")))</f>
        <v/>
      </c>
      <c r="H8" s="136">
        <f>IF(COUNTIFS(Engagements!$B$5:$B$200,$J8,Engagements!$F$5:$F$200,H$5)=0,"None",IF(COUNTIFS(Engagements!$B$5:$B$200,$J8,Engagements!$F$5:$F$200,H$5)-COUNTIFS(Engagements!$B$5:$B$200,$J8,Engagements!$F$5:$F$200,H$5,Engagements!$O$5:$O$200,"Nowhere")-COUNTIFS(Engagements!$B$5:$B$200,$J8,Engagements!$F$5:$F$200,H$5,Engagements!$O$5:$O$200,"")&gt;0,"Recorded",IF(COUNTIFS(Engagements!$B$5:$B$200,$J8,Engagements!$F$5:$F$200,H$5,Engagements!$O$5:$O$200,"Nowhere")&gt;0,"Named, no record","Source not stated")))</f>
        <v/>
      </c>
      <c r="I8" s="137">
        <f>INDEX(Customers!$I$5:$I$16,MATCH(B8,Customers!$D$5:$D$16,0))</f>
        <v/>
      </c>
      <c r="J8">
        <f>INDEX(Customers!$A$5:$A$16,MATCH(B8,Customers!$D$5:$D$16,0))</f>
        <v/>
      </c>
      <c r="K8">
        <f>IF(COUNTIF(E8:H8,"Named, no record")&gt;0,B8,0)</f>
        <v/>
      </c>
    </row>
    <row r="9" ht="26" customHeight="1">
      <c r="A9" s="134">
        <f>INDEX(Customers!$B$5:$B$16,MATCH(B9,Customers!$D$5:$D$16,0))</f>
        <v/>
      </c>
      <c r="B9" s="135">
        <f>LARGE(Customers!$D$5:$D$16,4)</f>
        <v/>
      </c>
      <c r="C9" s="136">
        <f>IF(COUNTIFS(Engagements!$B$5:$B$200,$J9,Engagements!$F$5:$F$200,C$5)=0,"None",IF(COUNTIFS(Engagements!$B$5:$B$200,$J9,Engagements!$F$5:$F$200,C$5)-COUNTIFS(Engagements!$B$5:$B$200,$J9,Engagements!$F$5:$F$200,C$5,Engagements!$O$5:$O$200,"Nowhere")-COUNTIFS(Engagements!$B$5:$B$200,$J9,Engagements!$F$5:$F$200,C$5,Engagements!$O$5:$O$200,"")&gt;0,"Recorded",IF(COUNTIFS(Engagements!$B$5:$B$200,$J9,Engagements!$F$5:$F$200,C$5,Engagements!$O$5:$O$200,"Nowhere")&gt;0,"Named, no record","Source not stated")))</f>
        <v/>
      </c>
      <c r="D9" s="136">
        <f>IF(COUNTIFS(Engagements!$B$5:$B$200,$J9,Engagements!$F$5:$F$200,D$5)=0,"None",IF(COUNTIFS(Engagements!$B$5:$B$200,$J9,Engagements!$F$5:$F$200,D$5)-COUNTIFS(Engagements!$B$5:$B$200,$J9,Engagements!$F$5:$F$200,D$5,Engagements!$O$5:$O$200,"Nowhere")-COUNTIFS(Engagements!$B$5:$B$200,$J9,Engagements!$F$5:$F$200,D$5,Engagements!$O$5:$O$200,"")&gt;0,"Recorded",IF(COUNTIFS(Engagements!$B$5:$B$200,$J9,Engagements!$F$5:$F$200,D$5,Engagements!$O$5:$O$200,"Nowhere")&gt;0,"Named, no record","Source not stated")))</f>
        <v/>
      </c>
      <c r="E9" s="136">
        <f>IF(COUNTIFS(Engagements!$B$5:$B$200,$J9,Engagements!$F$5:$F$200,E$5)=0,"None",IF(COUNTIFS(Engagements!$B$5:$B$200,$J9,Engagements!$F$5:$F$200,E$5)-COUNTIFS(Engagements!$B$5:$B$200,$J9,Engagements!$F$5:$F$200,E$5,Engagements!$O$5:$O$200,"Nowhere")-COUNTIFS(Engagements!$B$5:$B$200,$J9,Engagements!$F$5:$F$200,E$5,Engagements!$O$5:$O$200,"")&gt;0,"Recorded",IF(COUNTIFS(Engagements!$B$5:$B$200,$J9,Engagements!$F$5:$F$200,E$5,Engagements!$O$5:$O$200,"Nowhere")&gt;0,"Named, no record","Source not stated")))</f>
        <v/>
      </c>
      <c r="F9" s="136">
        <f>IF(COUNTIFS(Engagements!$B$5:$B$200,$J9,Engagements!$F$5:$F$200,F$5)=0,"None",IF(COUNTIFS(Engagements!$B$5:$B$200,$J9,Engagements!$F$5:$F$200,F$5)-COUNTIFS(Engagements!$B$5:$B$200,$J9,Engagements!$F$5:$F$200,F$5,Engagements!$O$5:$O$200,"Nowhere")-COUNTIFS(Engagements!$B$5:$B$200,$J9,Engagements!$F$5:$F$200,F$5,Engagements!$O$5:$O$200,"")&gt;0,"Recorded",IF(COUNTIFS(Engagements!$B$5:$B$200,$J9,Engagements!$F$5:$F$200,F$5,Engagements!$O$5:$O$200,"Nowhere")&gt;0,"Named, no record","Source not stated")))</f>
        <v/>
      </c>
      <c r="G9" s="136">
        <f>IF(COUNTIFS(Engagements!$B$5:$B$200,$J9,Engagements!$F$5:$F$200,G$5)=0,"None",IF(COUNTIFS(Engagements!$B$5:$B$200,$J9,Engagements!$F$5:$F$200,G$5)-COUNTIFS(Engagements!$B$5:$B$200,$J9,Engagements!$F$5:$F$200,G$5,Engagements!$O$5:$O$200,"Nowhere")-COUNTIFS(Engagements!$B$5:$B$200,$J9,Engagements!$F$5:$F$200,G$5,Engagements!$O$5:$O$200,"")&gt;0,"Recorded",IF(COUNTIFS(Engagements!$B$5:$B$200,$J9,Engagements!$F$5:$F$200,G$5,Engagements!$O$5:$O$200,"Nowhere")&gt;0,"Named, no record","Source not stated")))</f>
        <v/>
      </c>
      <c r="H9" s="136">
        <f>IF(COUNTIFS(Engagements!$B$5:$B$200,$J9,Engagements!$F$5:$F$200,H$5)=0,"None",IF(COUNTIFS(Engagements!$B$5:$B$200,$J9,Engagements!$F$5:$F$200,H$5)-COUNTIFS(Engagements!$B$5:$B$200,$J9,Engagements!$F$5:$F$200,H$5,Engagements!$O$5:$O$200,"Nowhere")-COUNTIFS(Engagements!$B$5:$B$200,$J9,Engagements!$F$5:$F$200,H$5,Engagements!$O$5:$O$200,"")&gt;0,"Recorded",IF(COUNTIFS(Engagements!$B$5:$B$200,$J9,Engagements!$F$5:$F$200,H$5,Engagements!$O$5:$O$200,"Nowhere")&gt;0,"Named, no record","Source not stated")))</f>
        <v/>
      </c>
      <c r="I9" s="137">
        <f>INDEX(Customers!$I$5:$I$16,MATCH(B9,Customers!$D$5:$D$16,0))</f>
        <v/>
      </c>
      <c r="J9">
        <f>INDEX(Customers!$A$5:$A$16,MATCH(B9,Customers!$D$5:$D$16,0))</f>
        <v/>
      </c>
      <c r="K9">
        <f>IF(COUNTIF(E9:H9,"Named, no record")&gt;0,B9,0)</f>
        <v/>
      </c>
    </row>
    <row r="10" ht="26" customHeight="1">
      <c r="A10" s="134">
        <f>INDEX(Customers!$B$5:$B$16,MATCH(B10,Customers!$D$5:$D$16,0))</f>
        <v/>
      </c>
      <c r="B10" s="135">
        <f>LARGE(Customers!$D$5:$D$16,5)</f>
        <v/>
      </c>
      <c r="C10" s="136">
        <f>IF(COUNTIFS(Engagements!$B$5:$B$200,$J10,Engagements!$F$5:$F$200,C$5)=0,"None",IF(COUNTIFS(Engagements!$B$5:$B$200,$J10,Engagements!$F$5:$F$200,C$5)-COUNTIFS(Engagements!$B$5:$B$200,$J10,Engagements!$F$5:$F$200,C$5,Engagements!$O$5:$O$200,"Nowhere")-COUNTIFS(Engagements!$B$5:$B$200,$J10,Engagements!$F$5:$F$200,C$5,Engagements!$O$5:$O$200,"")&gt;0,"Recorded",IF(COUNTIFS(Engagements!$B$5:$B$200,$J10,Engagements!$F$5:$F$200,C$5,Engagements!$O$5:$O$200,"Nowhere")&gt;0,"Named, no record","Source not stated")))</f>
        <v/>
      </c>
      <c r="D10" s="136">
        <f>IF(COUNTIFS(Engagements!$B$5:$B$200,$J10,Engagements!$F$5:$F$200,D$5)=0,"None",IF(COUNTIFS(Engagements!$B$5:$B$200,$J10,Engagements!$F$5:$F$200,D$5)-COUNTIFS(Engagements!$B$5:$B$200,$J10,Engagements!$F$5:$F$200,D$5,Engagements!$O$5:$O$200,"Nowhere")-COUNTIFS(Engagements!$B$5:$B$200,$J10,Engagements!$F$5:$F$200,D$5,Engagements!$O$5:$O$200,"")&gt;0,"Recorded",IF(COUNTIFS(Engagements!$B$5:$B$200,$J10,Engagements!$F$5:$F$200,D$5,Engagements!$O$5:$O$200,"Nowhere")&gt;0,"Named, no record","Source not stated")))</f>
        <v/>
      </c>
      <c r="E10" s="136">
        <f>IF(COUNTIFS(Engagements!$B$5:$B$200,$J10,Engagements!$F$5:$F$200,E$5)=0,"None",IF(COUNTIFS(Engagements!$B$5:$B$200,$J10,Engagements!$F$5:$F$200,E$5)-COUNTIFS(Engagements!$B$5:$B$200,$J10,Engagements!$F$5:$F$200,E$5,Engagements!$O$5:$O$200,"Nowhere")-COUNTIFS(Engagements!$B$5:$B$200,$J10,Engagements!$F$5:$F$200,E$5,Engagements!$O$5:$O$200,"")&gt;0,"Recorded",IF(COUNTIFS(Engagements!$B$5:$B$200,$J10,Engagements!$F$5:$F$200,E$5,Engagements!$O$5:$O$200,"Nowhere")&gt;0,"Named, no record","Source not stated")))</f>
        <v/>
      </c>
      <c r="F10" s="136">
        <f>IF(COUNTIFS(Engagements!$B$5:$B$200,$J10,Engagements!$F$5:$F$200,F$5)=0,"None",IF(COUNTIFS(Engagements!$B$5:$B$200,$J10,Engagements!$F$5:$F$200,F$5)-COUNTIFS(Engagements!$B$5:$B$200,$J10,Engagements!$F$5:$F$200,F$5,Engagements!$O$5:$O$200,"Nowhere")-COUNTIFS(Engagements!$B$5:$B$200,$J10,Engagements!$F$5:$F$200,F$5,Engagements!$O$5:$O$200,"")&gt;0,"Recorded",IF(COUNTIFS(Engagements!$B$5:$B$200,$J10,Engagements!$F$5:$F$200,F$5,Engagements!$O$5:$O$200,"Nowhere")&gt;0,"Named, no record","Source not stated")))</f>
        <v/>
      </c>
      <c r="G10" s="136">
        <f>IF(COUNTIFS(Engagements!$B$5:$B$200,$J10,Engagements!$F$5:$F$200,G$5)=0,"None",IF(COUNTIFS(Engagements!$B$5:$B$200,$J10,Engagements!$F$5:$F$200,G$5)-COUNTIFS(Engagements!$B$5:$B$200,$J10,Engagements!$F$5:$F$200,G$5,Engagements!$O$5:$O$200,"Nowhere")-COUNTIFS(Engagements!$B$5:$B$200,$J10,Engagements!$F$5:$F$200,G$5,Engagements!$O$5:$O$200,"")&gt;0,"Recorded",IF(COUNTIFS(Engagements!$B$5:$B$200,$J10,Engagements!$F$5:$F$200,G$5,Engagements!$O$5:$O$200,"Nowhere")&gt;0,"Named, no record","Source not stated")))</f>
        <v/>
      </c>
      <c r="H10" s="136">
        <f>IF(COUNTIFS(Engagements!$B$5:$B$200,$J10,Engagements!$F$5:$F$200,H$5)=0,"None",IF(COUNTIFS(Engagements!$B$5:$B$200,$J10,Engagements!$F$5:$F$200,H$5)-COUNTIFS(Engagements!$B$5:$B$200,$J10,Engagements!$F$5:$F$200,H$5,Engagements!$O$5:$O$200,"Nowhere")-COUNTIFS(Engagements!$B$5:$B$200,$J10,Engagements!$F$5:$F$200,H$5,Engagements!$O$5:$O$200,"")&gt;0,"Recorded",IF(COUNTIFS(Engagements!$B$5:$B$200,$J10,Engagements!$F$5:$F$200,H$5,Engagements!$O$5:$O$200,"Nowhere")&gt;0,"Named, no record","Source not stated")))</f>
        <v/>
      </c>
      <c r="I10" s="137">
        <f>INDEX(Customers!$I$5:$I$16,MATCH(B10,Customers!$D$5:$D$16,0))</f>
        <v/>
      </c>
      <c r="J10">
        <f>INDEX(Customers!$A$5:$A$16,MATCH(B10,Customers!$D$5:$D$16,0))</f>
        <v/>
      </c>
      <c r="K10">
        <f>IF(COUNTIF(E10:H10,"Named, no record")&gt;0,B10,0)</f>
        <v/>
      </c>
    </row>
    <row r="11" ht="26" customHeight="1">
      <c r="A11" s="134">
        <f>INDEX(Customers!$B$5:$B$16,MATCH(B11,Customers!$D$5:$D$16,0))</f>
        <v/>
      </c>
      <c r="B11" s="135">
        <f>LARGE(Customers!$D$5:$D$16,6)</f>
        <v/>
      </c>
      <c r="C11" s="136">
        <f>IF(COUNTIFS(Engagements!$B$5:$B$200,$J11,Engagements!$F$5:$F$200,C$5)=0,"None",IF(COUNTIFS(Engagements!$B$5:$B$200,$J11,Engagements!$F$5:$F$200,C$5)-COUNTIFS(Engagements!$B$5:$B$200,$J11,Engagements!$F$5:$F$200,C$5,Engagements!$O$5:$O$200,"Nowhere")-COUNTIFS(Engagements!$B$5:$B$200,$J11,Engagements!$F$5:$F$200,C$5,Engagements!$O$5:$O$200,"")&gt;0,"Recorded",IF(COUNTIFS(Engagements!$B$5:$B$200,$J11,Engagements!$F$5:$F$200,C$5,Engagements!$O$5:$O$200,"Nowhere")&gt;0,"Named, no record","Source not stated")))</f>
        <v/>
      </c>
      <c r="D11" s="136">
        <f>IF(COUNTIFS(Engagements!$B$5:$B$200,$J11,Engagements!$F$5:$F$200,D$5)=0,"None",IF(COUNTIFS(Engagements!$B$5:$B$200,$J11,Engagements!$F$5:$F$200,D$5)-COUNTIFS(Engagements!$B$5:$B$200,$J11,Engagements!$F$5:$F$200,D$5,Engagements!$O$5:$O$200,"Nowhere")-COUNTIFS(Engagements!$B$5:$B$200,$J11,Engagements!$F$5:$F$200,D$5,Engagements!$O$5:$O$200,"")&gt;0,"Recorded",IF(COUNTIFS(Engagements!$B$5:$B$200,$J11,Engagements!$F$5:$F$200,D$5,Engagements!$O$5:$O$200,"Nowhere")&gt;0,"Named, no record","Source not stated")))</f>
        <v/>
      </c>
      <c r="E11" s="136">
        <f>IF(COUNTIFS(Engagements!$B$5:$B$200,$J11,Engagements!$F$5:$F$200,E$5)=0,"None",IF(COUNTIFS(Engagements!$B$5:$B$200,$J11,Engagements!$F$5:$F$200,E$5)-COUNTIFS(Engagements!$B$5:$B$200,$J11,Engagements!$F$5:$F$200,E$5,Engagements!$O$5:$O$200,"Nowhere")-COUNTIFS(Engagements!$B$5:$B$200,$J11,Engagements!$F$5:$F$200,E$5,Engagements!$O$5:$O$200,"")&gt;0,"Recorded",IF(COUNTIFS(Engagements!$B$5:$B$200,$J11,Engagements!$F$5:$F$200,E$5,Engagements!$O$5:$O$200,"Nowhere")&gt;0,"Named, no record","Source not stated")))</f>
        <v/>
      </c>
      <c r="F11" s="136">
        <f>IF(COUNTIFS(Engagements!$B$5:$B$200,$J11,Engagements!$F$5:$F$200,F$5)=0,"None",IF(COUNTIFS(Engagements!$B$5:$B$200,$J11,Engagements!$F$5:$F$200,F$5)-COUNTIFS(Engagements!$B$5:$B$200,$J11,Engagements!$F$5:$F$200,F$5,Engagements!$O$5:$O$200,"Nowhere")-COUNTIFS(Engagements!$B$5:$B$200,$J11,Engagements!$F$5:$F$200,F$5,Engagements!$O$5:$O$200,"")&gt;0,"Recorded",IF(COUNTIFS(Engagements!$B$5:$B$200,$J11,Engagements!$F$5:$F$200,F$5,Engagements!$O$5:$O$200,"Nowhere")&gt;0,"Named, no record","Source not stated")))</f>
        <v/>
      </c>
      <c r="G11" s="136">
        <f>IF(COUNTIFS(Engagements!$B$5:$B$200,$J11,Engagements!$F$5:$F$200,G$5)=0,"None",IF(COUNTIFS(Engagements!$B$5:$B$200,$J11,Engagements!$F$5:$F$200,G$5)-COUNTIFS(Engagements!$B$5:$B$200,$J11,Engagements!$F$5:$F$200,G$5,Engagements!$O$5:$O$200,"Nowhere")-COUNTIFS(Engagements!$B$5:$B$200,$J11,Engagements!$F$5:$F$200,G$5,Engagements!$O$5:$O$200,"")&gt;0,"Recorded",IF(COUNTIFS(Engagements!$B$5:$B$200,$J11,Engagements!$F$5:$F$200,G$5,Engagements!$O$5:$O$200,"Nowhere")&gt;0,"Named, no record","Source not stated")))</f>
        <v/>
      </c>
      <c r="H11" s="136">
        <f>IF(COUNTIFS(Engagements!$B$5:$B$200,$J11,Engagements!$F$5:$F$200,H$5)=0,"None",IF(COUNTIFS(Engagements!$B$5:$B$200,$J11,Engagements!$F$5:$F$200,H$5)-COUNTIFS(Engagements!$B$5:$B$200,$J11,Engagements!$F$5:$F$200,H$5,Engagements!$O$5:$O$200,"Nowhere")-COUNTIFS(Engagements!$B$5:$B$200,$J11,Engagements!$F$5:$F$200,H$5,Engagements!$O$5:$O$200,"")&gt;0,"Recorded",IF(COUNTIFS(Engagements!$B$5:$B$200,$J11,Engagements!$F$5:$F$200,H$5,Engagements!$O$5:$O$200,"Nowhere")&gt;0,"Named, no record","Source not stated")))</f>
        <v/>
      </c>
      <c r="I11" s="137">
        <f>INDEX(Customers!$I$5:$I$16,MATCH(B11,Customers!$D$5:$D$16,0))</f>
        <v/>
      </c>
      <c r="J11">
        <f>INDEX(Customers!$A$5:$A$16,MATCH(B11,Customers!$D$5:$D$16,0))</f>
        <v/>
      </c>
      <c r="K11">
        <f>IF(COUNTIF(E11:H11,"Named, no record")&gt;0,B11,0)</f>
        <v/>
      </c>
    </row>
    <row r="12" ht="26" customHeight="1">
      <c r="A12" s="134">
        <f>INDEX(Customers!$B$5:$B$16,MATCH(B12,Customers!$D$5:$D$16,0))</f>
        <v/>
      </c>
      <c r="B12" s="135">
        <f>LARGE(Customers!$D$5:$D$16,7)</f>
        <v/>
      </c>
      <c r="C12" s="136">
        <f>IF(COUNTIFS(Engagements!$B$5:$B$200,$J12,Engagements!$F$5:$F$200,C$5)=0,"None",IF(COUNTIFS(Engagements!$B$5:$B$200,$J12,Engagements!$F$5:$F$200,C$5)-COUNTIFS(Engagements!$B$5:$B$200,$J12,Engagements!$F$5:$F$200,C$5,Engagements!$O$5:$O$200,"Nowhere")-COUNTIFS(Engagements!$B$5:$B$200,$J12,Engagements!$F$5:$F$200,C$5,Engagements!$O$5:$O$200,"")&gt;0,"Recorded",IF(COUNTIFS(Engagements!$B$5:$B$200,$J12,Engagements!$F$5:$F$200,C$5,Engagements!$O$5:$O$200,"Nowhere")&gt;0,"Named, no record","Source not stated")))</f>
        <v/>
      </c>
      <c r="D12" s="136">
        <f>IF(COUNTIFS(Engagements!$B$5:$B$200,$J12,Engagements!$F$5:$F$200,D$5)=0,"None",IF(COUNTIFS(Engagements!$B$5:$B$200,$J12,Engagements!$F$5:$F$200,D$5)-COUNTIFS(Engagements!$B$5:$B$200,$J12,Engagements!$F$5:$F$200,D$5,Engagements!$O$5:$O$200,"Nowhere")-COUNTIFS(Engagements!$B$5:$B$200,$J12,Engagements!$F$5:$F$200,D$5,Engagements!$O$5:$O$200,"")&gt;0,"Recorded",IF(COUNTIFS(Engagements!$B$5:$B$200,$J12,Engagements!$F$5:$F$200,D$5,Engagements!$O$5:$O$200,"Nowhere")&gt;0,"Named, no record","Source not stated")))</f>
        <v/>
      </c>
      <c r="E12" s="136">
        <f>IF(COUNTIFS(Engagements!$B$5:$B$200,$J12,Engagements!$F$5:$F$200,E$5)=0,"None",IF(COUNTIFS(Engagements!$B$5:$B$200,$J12,Engagements!$F$5:$F$200,E$5)-COUNTIFS(Engagements!$B$5:$B$200,$J12,Engagements!$F$5:$F$200,E$5,Engagements!$O$5:$O$200,"Nowhere")-COUNTIFS(Engagements!$B$5:$B$200,$J12,Engagements!$F$5:$F$200,E$5,Engagements!$O$5:$O$200,"")&gt;0,"Recorded",IF(COUNTIFS(Engagements!$B$5:$B$200,$J12,Engagements!$F$5:$F$200,E$5,Engagements!$O$5:$O$200,"Nowhere")&gt;0,"Named, no record","Source not stated")))</f>
        <v/>
      </c>
      <c r="F12" s="136">
        <f>IF(COUNTIFS(Engagements!$B$5:$B$200,$J12,Engagements!$F$5:$F$200,F$5)=0,"None",IF(COUNTIFS(Engagements!$B$5:$B$200,$J12,Engagements!$F$5:$F$200,F$5)-COUNTIFS(Engagements!$B$5:$B$200,$J12,Engagements!$F$5:$F$200,F$5,Engagements!$O$5:$O$200,"Nowhere")-COUNTIFS(Engagements!$B$5:$B$200,$J12,Engagements!$F$5:$F$200,F$5,Engagements!$O$5:$O$200,"")&gt;0,"Recorded",IF(COUNTIFS(Engagements!$B$5:$B$200,$J12,Engagements!$F$5:$F$200,F$5,Engagements!$O$5:$O$200,"Nowhere")&gt;0,"Named, no record","Source not stated")))</f>
        <v/>
      </c>
      <c r="G12" s="136">
        <f>IF(COUNTIFS(Engagements!$B$5:$B$200,$J12,Engagements!$F$5:$F$200,G$5)=0,"None",IF(COUNTIFS(Engagements!$B$5:$B$200,$J12,Engagements!$F$5:$F$200,G$5)-COUNTIFS(Engagements!$B$5:$B$200,$J12,Engagements!$F$5:$F$200,G$5,Engagements!$O$5:$O$200,"Nowhere")-COUNTIFS(Engagements!$B$5:$B$200,$J12,Engagements!$F$5:$F$200,G$5,Engagements!$O$5:$O$200,"")&gt;0,"Recorded",IF(COUNTIFS(Engagements!$B$5:$B$200,$J12,Engagements!$F$5:$F$200,G$5,Engagements!$O$5:$O$200,"Nowhere")&gt;0,"Named, no record","Source not stated")))</f>
        <v/>
      </c>
      <c r="H12" s="136">
        <f>IF(COUNTIFS(Engagements!$B$5:$B$200,$J12,Engagements!$F$5:$F$200,H$5)=0,"None",IF(COUNTIFS(Engagements!$B$5:$B$200,$J12,Engagements!$F$5:$F$200,H$5)-COUNTIFS(Engagements!$B$5:$B$200,$J12,Engagements!$F$5:$F$200,H$5,Engagements!$O$5:$O$200,"Nowhere")-COUNTIFS(Engagements!$B$5:$B$200,$J12,Engagements!$F$5:$F$200,H$5,Engagements!$O$5:$O$200,"")&gt;0,"Recorded",IF(COUNTIFS(Engagements!$B$5:$B$200,$J12,Engagements!$F$5:$F$200,H$5,Engagements!$O$5:$O$200,"Nowhere")&gt;0,"Named, no record","Source not stated")))</f>
        <v/>
      </c>
      <c r="I12" s="137">
        <f>INDEX(Customers!$I$5:$I$16,MATCH(B12,Customers!$D$5:$D$16,0))</f>
        <v/>
      </c>
      <c r="J12">
        <f>INDEX(Customers!$A$5:$A$16,MATCH(B12,Customers!$D$5:$D$16,0))</f>
        <v/>
      </c>
      <c r="K12">
        <f>IF(COUNTIF(E12:H12,"Named, no record")&gt;0,B12,0)</f>
        <v/>
      </c>
    </row>
    <row r="13" ht="26" customHeight="1">
      <c r="A13" s="134">
        <f>INDEX(Customers!$B$5:$B$16,MATCH(B13,Customers!$D$5:$D$16,0))</f>
        <v/>
      </c>
      <c r="B13" s="135">
        <f>LARGE(Customers!$D$5:$D$16,8)</f>
        <v/>
      </c>
      <c r="C13" s="136">
        <f>IF(COUNTIFS(Engagements!$B$5:$B$200,$J13,Engagements!$F$5:$F$200,C$5)=0,"None",IF(COUNTIFS(Engagements!$B$5:$B$200,$J13,Engagements!$F$5:$F$200,C$5)-COUNTIFS(Engagements!$B$5:$B$200,$J13,Engagements!$F$5:$F$200,C$5,Engagements!$O$5:$O$200,"Nowhere")-COUNTIFS(Engagements!$B$5:$B$200,$J13,Engagements!$F$5:$F$200,C$5,Engagements!$O$5:$O$200,"")&gt;0,"Recorded",IF(COUNTIFS(Engagements!$B$5:$B$200,$J13,Engagements!$F$5:$F$200,C$5,Engagements!$O$5:$O$200,"Nowhere")&gt;0,"Named, no record","Source not stated")))</f>
        <v/>
      </c>
      <c r="D13" s="136">
        <f>IF(COUNTIFS(Engagements!$B$5:$B$200,$J13,Engagements!$F$5:$F$200,D$5)=0,"None",IF(COUNTIFS(Engagements!$B$5:$B$200,$J13,Engagements!$F$5:$F$200,D$5)-COUNTIFS(Engagements!$B$5:$B$200,$J13,Engagements!$F$5:$F$200,D$5,Engagements!$O$5:$O$200,"Nowhere")-COUNTIFS(Engagements!$B$5:$B$200,$J13,Engagements!$F$5:$F$200,D$5,Engagements!$O$5:$O$200,"")&gt;0,"Recorded",IF(COUNTIFS(Engagements!$B$5:$B$200,$J13,Engagements!$F$5:$F$200,D$5,Engagements!$O$5:$O$200,"Nowhere")&gt;0,"Named, no record","Source not stated")))</f>
        <v/>
      </c>
      <c r="E13" s="136">
        <f>IF(COUNTIFS(Engagements!$B$5:$B$200,$J13,Engagements!$F$5:$F$200,E$5)=0,"None",IF(COUNTIFS(Engagements!$B$5:$B$200,$J13,Engagements!$F$5:$F$200,E$5)-COUNTIFS(Engagements!$B$5:$B$200,$J13,Engagements!$F$5:$F$200,E$5,Engagements!$O$5:$O$200,"Nowhere")-COUNTIFS(Engagements!$B$5:$B$200,$J13,Engagements!$F$5:$F$200,E$5,Engagements!$O$5:$O$200,"")&gt;0,"Recorded",IF(COUNTIFS(Engagements!$B$5:$B$200,$J13,Engagements!$F$5:$F$200,E$5,Engagements!$O$5:$O$200,"Nowhere")&gt;0,"Named, no record","Source not stated")))</f>
        <v/>
      </c>
      <c r="F13" s="136">
        <f>IF(COUNTIFS(Engagements!$B$5:$B$200,$J13,Engagements!$F$5:$F$200,F$5)=0,"None",IF(COUNTIFS(Engagements!$B$5:$B$200,$J13,Engagements!$F$5:$F$200,F$5)-COUNTIFS(Engagements!$B$5:$B$200,$J13,Engagements!$F$5:$F$200,F$5,Engagements!$O$5:$O$200,"Nowhere")-COUNTIFS(Engagements!$B$5:$B$200,$J13,Engagements!$F$5:$F$200,F$5,Engagements!$O$5:$O$200,"")&gt;0,"Recorded",IF(COUNTIFS(Engagements!$B$5:$B$200,$J13,Engagements!$F$5:$F$200,F$5,Engagements!$O$5:$O$200,"Nowhere")&gt;0,"Named, no record","Source not stated")))</f>
        <v/>
      </c>
      <c r="G13" s="136">
        <f>IF(COUNTIFS(Engagements!$B$5:$B$200,$J13,Engagements!$F$5:$F$200,G$5)=0,"None",IF(COUNTIFS(Engagements!$B$5:$B$200,$J13,Engagements!$F$5:$F$200,G$5)-COUNTIFS(Engagements!$B$5:$B$200,$J13,Engagements!$F$5:$F$200,G$5,Engagements!$O$5:$O$200,"Nowhere")-COUNTIFS(Engagements!$B$5:$B$200,$J13,Engagements!$F$5:$F$200,G$5,Engagements!$O$5:$O$200,"")&gt;0,"Recorded",IF(COUNTIFS(Engagements!$B$5:$B$200,$J13,Engagements!$F$5:$F$200,G$5,Engagements!$O$5:$O$200,"Nowhere")&gt;0,"Named, no record","Source not stated")))</f>
        <v/>
      </c>
      <c r="H13" s="136">
        <f>IF(COUNTIFS(Engagements!$B$5:$B$200,$J13,Engagements!$F$5:$F$200,H$5)=0,"None",IF(COUNTIFS(Engagements!$B$5:$B$200,$J13,Engagements!$F$5:$F$200,H$5)-COUNTIFS(Engagements!$B$5:$B$200,$J13,Engagements!$F$5:$F$200,H$5,Engagements!$O$5:$O$200,"Nowhere")-COUNTIFS(Engagements!$B$5:$B$200,$J13,Engagements!$F$5:$F$200,H$5,Engagements!$O$5:$O$200,"")&gt;0,"Recorded",IF(COUNTIFS(Engagements!$B$5:$B$200,$J13,Engagements!$F$5:$F$200,H$5,Engagements!$O$5:$O$200,"Nowhere")&gt;0,"Named, no record","Source not stated")))</f>
        <v/>
      </c>
      <c r="I13" s="137">
        <f>INDEX(Customers!$I$5:$I$16,MATCH(B13,Customers!$D$5:$D$16,0))</f>
        <v/>
      </c>
      <c r="J13">
        <f>INDEX(Customers!$A$5:$A$16,MATCH(B13,Customers!$D$5:$D$16,0))</f>
        <v/>
      </c>
      <c r="K13">
        <f>IF(COUNTIF(E13:H13,"Named, no record")&gt;0,B13,0)</f>
        <v/>
      </c>
    </row>
    <row r="14" ht="26" customHeight="1">
      <c r="A14" s="134">
        <f>INDEX(Customers!$B$5:$B$16,MATCH(B14,Customers!$D$5:$D$16,0))</f>
        <v/>
      </c>
      <c r="B14" s="135">
        <f>LARGE(Customers!$D$5:$D$16,9)</f>
        <v/>
      </c>
      <c r="C14" s="136">
        <f>IF(COUNTIFS(Engagements!$B$5:$B$200,$J14,Engagements!$F$5:$F$200,C$5)=0,"None",IF(COUNTIFS(Engagements!$B$5:$B$200,$J14,Engagements!$F$5:$F$200,C$5)-COUNTIFS(Engagements!$B$5:$B$200,$J14,Engagements!$F$5:$F$200,C$5,Engagements!$O$5:$O$200,"Nowhere")-COUNTIFS(Engagements!$B$5:$B$200,$J14,Engagements!$F$5:$F$200,C$5,Engagements!$O$5:$O$200,"")&gt;0,"Recorded",IF(COUNTIFS(Engagements!$B$5:$B$200,$J14,Engagements!$F$5:$F$200,C$5,Engagements!$O$5:$O$200,"Nowhere")&gt;0,"Named, no record","Source not stated")))</f>
        <v/>
      </c>
      <c r="D14" s="136">
        <f>IF(COUNTIFS(Engagements!$B$5:$B$200,$J14,Engagements!$F$5:$F$200,D$5)=0,"None",IF(COUNTIFS(Engagements!$B$5:$B$200,$J14,Engagements!$F$5:$F$200,D$5)-COUNTIFS(Engagements!$B$5:$B$200,$J14,Engagements!$F$5:$F$200,D$5,Engagements!$O$5:$O$200,"Nowhere")-COUNTIFS(Engagements!$B$5:$B$200,$J14,Engagements!$F$5:$F$200,D$5,Engagements!$O$5:$O$200,"")&gt;0,"Recorded",IF(COUNTIFS(Engagements!$B$5:$B$200,$J14,Engagements!$F$5:$F$200,D$5,Engagements!$O$5:$O$200,"Nowhere")&gt;0,"Named, no record","Source not stated")))</f>
        <v/>
      </c>
      <c r="E14" s="136">
        <f>IF(COUNTIFS(Engagements!$B$5:$B$200,$J14,Engagements!$F$5:$F$200,E$5)=0,"None",IF(COUNTIFS(Engagements!$B$5:$B$200,$J14,Engagements!$F$5:$F$200,E$5)-COUNTIFS(Engagements!$B$5:$B$200,$J14,Engagements!$F$5:$F$200,E$5,Engagements!$O$5:$O$200,"Nowhere")-COUNTIFS(Engagements!$B$5:$B$200,$J14,Engagements!$F$5:$F$200,E$5,Engagements!$O$5:$O$200,"")&gt;0,"Recorded",IF(COUNTIFS(Engagements!$B$5:$B$200,$J14,Engagements!$F$5:$F$200,E$5,Engagements!$O$5:$O$200,"Nowhere")&gt;0,"Named, no record","Source not stated")))</f>
        <v/>
      </c>
      <c r="F14" s="136">
        <f>IF(COUNTIFS(Engagements!$B$5:$B$200,$J14,Engagements!$F$5:$F$200,F$5)=0,"None",IF(COUNTIFS(Engagements!$B$5:$B$200,$J14,Engagements!$F$5:$F$200,F$5)-COUNTIFS(Engagements!$B$5:$B$200,$J14,Engagements!$F$5:$F$200,F$5,Engagements!$O$5:$O$200,"Nowhere")-COUNTIFS(Engagements!$B$5:$B$200,$J14,Engagements!$F$5:$F$200,F$5,Engagements!$O$5:$O$200,"")&gt;0,"Recorded",IF(COUNTIFS(Engagements!$B$5:$B$200,$J14,Engagements!$F$5:$F$200,F$5,Engagements!$O$5:$O$200,"Nowhere")&gt;0,"Named, no record","Source not stated")))</f>
        <v/>
      </c>
      <c r="G14" s="136">
        <f>IF(COUNTIFS(Engagements!$B$5:$B$200,$J14,Engagements!$F$5:$F$200,G$5)=0,"None",IF(COUNTIFS(Engagements!$B$5:$B$200,$J14,Engagements!$F$5:$F$200,G$5)-COUNTIFS(Engagements!$B$5:$B$200,$J14,Engagements!$F$5:$F$200,G$5,Engagements!$O$5:$O$200,"Nowhere")-COUNTIFS(Engagements!$B$5:$B$200,$J14,Engagements!$F$5:$F$200,G$5,Engagements!$O$5:$O$200,"")&gt;0,"Recorded",IF(COUNTIFS(Engagements!$B$5:$B$200,$J14,Engagements!$F$5:$F$200,G$5,Engagements!$O$5:$O$200,"Nowhere")&gt;0,"Named, no record","Source not stated")))</f>
        <v/>
      </c>
      <c r="H14" s="136">
        <f>IF(COUNTIFS(Engagements!$B$5:$B$200,$J14,Engagements!$F$5:$F$200,H$5)=0,"None",IF(COUNTIFS(Engagements!$B$5:$B$200,$J14,Engagements!$F$5:$F$200,H$5)-COUNTIFS(Engagements!$B$5:$B$200,$J14,Engagements!$F$5:$F$200,H$5,Engagements!$O$5:$O$200,"Nowhere")-COUNTIFS(Engagements!$B$5:$B$200,$J14,Engagements!$F$5:$F$200,H$5,Engagements!$O$5:$O$200,"")&gt;0,"Recorded",IF(COUNTIFS(Engagements!$B$5:$B$200,$J14,Engagements!$F$5:$F$200,H$5,Engagements!$O$5:$O$200,"Nowhere")&gt;0,"Named, no record","Source not stated")))</f>
        <v/>
      </c>
      <c r="I14" s="137">
        <f>INDEX(Customers!$I$5:$I$16,MATCH(B14,Customers!$D$5:$D$16,0))</f>
        <v/>
      </c>
      <c r="J14">
        <f>INDEX(Customers!$A$5:$A$16,MATCH(B14,Customers!$D$5:$D$16,0))</f>
        <v/>
      </c>
      <c r="K14">
        <f>IF(COUNTIF(E14:H14,"Named, no record")&gt;0,B14,0)</f>
        <v/>
      </c>
    </row>
    <row r="15" ht="26" customHeight="1">
      <c r="A15" s="134">
        <f>INDEX(Customers!$B$5:$B$16,MATCH(B15,Customers!$D$5:$D$16,0))</f>
        <v/>
      </c>
      <c r="B15" s="135">
        <f>LARGE(Customers!$D$5:$D$16,10)</f>
        <v/>
      </c>
      <c r="C15" s="136">
        <f>IF(COUNTIFS(Engagements!$B$5:$B$200,$J15,Engagements!$F$5:$F$200,C$5)=0,"None",IF(COUNTIFS(Engagements!$B$5:$B$200,$J15,Engagements!$F$5:$F$200,C$5)-COUNTIFS(Engagements!$B$5:$B$200,$J15,Engagements!$F$5:$F$200,C$5,Engagements!$O$5:$O$200,"Nowhere")-COUNTIFS(Engagements!$B$5:$B$200,$J15,Engagements!$F$5:$F$200,C$5,Engagements!$O$5:$O$200,"")&gt;0,"Recorded",IF(COUNTIFS(Engagements!$B$5:$B$200,$J15,Engagements!$F$5:$F$200,C$5,Engagements!$O$5:$O$200,"Nowhere")&gt;0,"Named, no record","Source not stated")))</f>
        <v/>
      </c>
      <c r="D15" s="136">
        <f>IF(COUNTIFS(Engagements!$B$5:$B$200,$J15,Engagements!$F$5:$F$200,D$5)=0,"None",IF(COUNTIFS(Engagements!$B$5:$B$200,$J15,Engagements!$F$5:$F$200,D$5)-COUNTIFS(Engagements!$B$5:$B$200,$J15,Engagements!$F$5:$F$200,D$5,Engagements!$O$5:$O$200,"Nowhere")-COUNTIFS(Engagements!$B$5:$B$200,$J15,Engagements!$F$5:$F$200,D$5,Engagements!$O$5:$O$200,"")&gt;0,"Recorded",IF(COUNTIFS(Engagements!$B$5:$B$200,$J15,Engagements!$F$5:$F$200,D$5,Engagements!$O$5:$O$200,"Nowhere")&gt;0,"Named, no record","Source not stated")))</f>
        <v/>
      </c>
      <c r="E15" s="136">
        <f>IF(COUNTIFS(Engagements!$B$5:$B$200,$J15,Engagements!$F$5:$F$200,E$5)=0,"None",IF(COUNTIFS(Engagements!$B$5:$B$200,$J15,Engagements!$F$5:$F$200,E$5)-COUNTIFS(Engagements!$B$5:$B$200,$J15,Engagements!$F$5:$F$200,E$5,Engagements!$O$5:$O$200,"Nowhere")-COUNTIFS(Engagements!$B$5:$B$200,$J15,Engagements!$F$5:$F$200,E$5,Engagements!$O$5:$O$200,"")&gt;0,"Recorded",IF(COUNTIFS(Engagements!$B$5:$B$200,$J15,Engagements!$F$5:$F$200,E$5,Engagements!$O$5:$O$200,"Nowhere")&gt;0,"Named, no record","Source not stated")))</f>
        <v/>
      </c>
      <c r="F15" s="136">
        <f>IF(COUNTIFS(Engagements!$B$5:$B$200,$J15,Engagements!$F$5:$F$200,F$5)=0,"None",IF(COUNTIFS(Engagements!$B$5:$B$200,$J15,Engagements!$F$5:$F$200,F$5)-COUNTIFS(Engagements!$B$5:$B$200,$J15,Engagements!$F$5:$F$200,F$5,Engagements!$O$5:$O$200,"Nowhere")-COUNTIFS(Engagements!$B$5:$B$200,$J15,Engagements!$F$5:$F$200,F$5,Engagements!$O$5:$O$200,"")&gt;0,"Recorded",IF(COUNTIFS(Engagements!$B$5:$B$200,$J15,Engagements!$F$5:$F$200,F$5,Engagements!$O$5:$O$200,"Nowhere")&gt;0,"Named, no record","Source not stated")))</f>
        <v/>
      </c>
      <c r="G15" s="136">
        <f>IF(COUNTIFS(Engagements!$B$5:$B$200,$J15,Engagements!$F$5:$F$200,G$5)=0,"None",IF(COUNTIFS(Engagements!$B$5:$B$200,$J15,Engagements!$F$5:$F$200,G$5)-COUNTIFS(Engagements!$B$5:$B$200,$J15,Engagements!$F$5:$F$200,G$5,Engagements!$O$5:$O$200,"Nowhere")-COUNTIFS(Engagements!$B$5:$B$200,$J15,Engagements!$F$5:$F$200,G$5,Engagements!$O$5:$O$200,"")&gt;0,"Recorded",IF(COUNTIFS(Engagements!$B$5:$B$200,$J15,Engagements!$F$5:$F$200,G$5,Engagements!$O$5:$O$200,"Nowhere")&gt;0,"Named, no record","Source not stated")))</f>
        <v/>
      </c>
      <c r="H15" s="136">
        <f>IF(COUNTIFS(Engagements!$B$5:$B$200,$J15,Engagements!$F$5:$F$200,H$5)=0,"None",IF(COUNTIFS(Engagements!$B$5:$B$200,$J15,Engagements!$F$5:$F$200,H$5)-COUNTIFS(Engagements!$B$5:$B$200,$J15,Engagements!$F$5:$F$200,H$5,Engagements!$O$5:$O$200,"Nowhere")-COUNTIFS(Engagements!$B$5:$B$200,$J15,Engagements!$F$5:$F$200,H$5,Engagements!$O$5:$O$200,"")&gt;0,"Recorded",IF(COUNTIFS(Engagements!$B$5:$B$200,$J15,Engagements!$F$5:$F$200,H$5,Engagements!$O$5:$O$200,"Nowhere")&gt;0,"Named, no record","Source not stated")))</f>
        <v/>
      </c>
      <c r="I15" s="137">
        <f>INDEX(Customers!$I$5:$I$16,MATCH(B15,Customers!$D$5:$D$16,0))</f>
        <v/>
      </c>
      <c r="J15">
        <f>INDEX(Customers!$A$5:$A$16,MATCH(B15,Customers!$D$5:$D$16,0))</f>
        <v/>
      </c>
      <c r="K15">
        <f>IF(COUNTIF(E15:H15,"Named, no record")&gt;0,B15,0)</f>
        <v/>
      </c>
    </row>
    <row r="16" ht="26" customHeight="1">
      <c r="A16" s="134">
        <f>INDEX(Customers!$B$5:$B$16,MATCH(B16,Customers!$D$5:$D$16,0))</f>
        <v/>
      </c>
      <c r="B16" s="135">
        <f>LARGE(Customers!$D$5:$D$16,11)</f>
        <v/>
      </c>
      <c r="C16" s="136">
        <f>IF(COUNTIFS(Engagements!$B$5:$B$200,$J16,Engagements!$F$5:$F$200,C$5)=0,"None",IF(COUNTIFS(Engagements!$B$5:$B$200,$J16,Engagements!$F$5:$F$200,C$5)-COUNTIFS(Engagements!$B$5:$B$200,$J16,Engagements!$F$5:$F$200,C$5,Engagements!$O$5:$O$200,"Nowhere")-COUNTIFS(Engagements!$B$5:$B$200,$J16,Engagements!$F$5:$F$200,C$5,Engagements!$O$5:$O$200,"")&gt;0,"Recorded",IF(COUNTIFS(Engagements!$B$5:$B$200,$J16,Engagements!$F$5:$F$200,C$5,Engagements!$O$5:$O$200,"Nowhere")&gt;0,"Named, no record","Source not stated")))</f>
        <v/>
      </c>
      <c r="D16" s="136">
        <f>IF(COUNTIFS(Engagements!$B$5:$B$200,$J16,Engagements!$F$5:$F$200,D$5)=0,"None",IF(COUNTIFS(Engagements!$B$5:$B$200,$J16,Engagements!$F$5:$F$200,D$5)-COUNTIFS(Engagements!$B$5:$B$200,$J16,Engagements!$F$5:$F$200,D$5,Engagements!$O$5:$O$200,"Nowhere")-COUNTIFS(Engagements!$B$5:$B$200,$J16,Engagements!$F$5:$F$200,D$5,Engagements!$O$5:$O$200,"")&gt;0,"Recorded",IF(COUNTIFS(Engagements!$B$5:$B$200,$J16,Engagements!$F$5:$F$200,D$5,Engagements!$O$5:$O$200,"Nowhere")&gt;0,"Named, no record","Source not stated")))</f>
        <v/>
      </c>
      <c r="E16" s="136">
        <f>IF(COUNTIFS(Engagements!$B$5:$B$200,$J16,Engagements!$F$5:$F$200,E$5)=0,"None",IF(COUNTIFS(Engagements!$B$5:$B$200,$J16,Engagements!$F$5:$F$200,E$5)-COUNTIFS(Engagements!$B$5:$B$200,$J16,Engagements!$F$5:$F$200,E$5,Engagements!$O$5:$O$200,"Nowhere")-COUNTIFS(Engagements!$B$5:$B$200,$J16,Engagements!$F$5:$F$200,E$5,Engagements!$O$5:$O$200,"")&gt;0,"Recorded",IF(COUNTIFS(Engagements!$B$5:$B$200,$J16,Engagements!$F$5:$F$200,E$5,Engagements!$O$5:$O$200,"Nowhere")&gt;0,"Named, no record","Source not stated")))</f>
        <v/>
      </c>
      <c r="F16" s="136">
        <f>IF(COUNTIFS(Engagements!$B$5:$B$200,$J16,Engagements!$F$5:$F$200,F$5)=0,"None",IF(COUNTIFS(Engagements!$B$5:$B$200,$J16,Engagements!$F$5:$F$200,F$5)-COUNTIFS(Engagements!$B$5:$B$200,$J16,Engagements!$F$5:$F$200,F$5,Engagements!$O$5:$O$200,"Nowhere")-COUNTIFS(Engagements!$B$5:$B$200,$J16,Engagements!$F$5:$F$200,F$5,Engagements!$O$5:$O$200,"")&gt;0,"Recorded",IF(COUNTIFS(Engagements!$B$5:$B$200,$J16,Engagements!$F$5:$F$200,F$5,Engagements!$O$5:$O$200,"Nowhere")&gt;0,"Named, no record","Source not stated")))</f>
        <v/>
      </c>
      <c r="G16" s="136">
        <f>IF(COUNTIFS(Engagements!$B$5:$B$200,$J16,Engagements!$F$5:$F$200,G$5)=0,"None",IF(COUNTIFS(Engagements!$B$5:$B$200,$J16,Engagements!$F$5:$F$200,G$5)-COUNTIFS(Engagements!$B$5:$B$200,$J16,Engagements!$F$5:$F$200,G$5,Engagements!$O$5:$O$200,"Nowhere")-COUNTIFS(Engagements!$B$5:$B$200,$J16,Engagements!$F$5:$F$200,G$5,Engagements!$O$5:$O$200,"")&gt;0,"Recorded",IF(COUNTIFS(Engagements!$B$5:$B$200,$J16,Engagements!$F$5:$F$200,G$5,Engagements!$O$5:$O$200,"Nowhere")&gt;0,"Named, no record","Source not stated")))</f>
        <v/>
      </c>
      <c r="H16" s="136">
        <f>IF(COUNTIFS(Engagements!$B$5:$B$200,$J16,Engagements!$F$5:$F$200,H$5)=0,"None",IF(COUNTIFS(Engagements!$B$5:$B$200,$J16,Engagements!$F$5:$F$200,H$5)-COUNTIFS(Engagements!$B$5:$B$200,$J16,Engagements!$F$5:$F$200,H$5,Engagements!$O$5:$O$200,"Nowhere")-COUNTIFS(Engagements!$B$5:$B$200,$J16,Engagements!$F$5:$F$200,H$5,Engagements!$O$5:$O$200,"")&gt;0,"Recorded",IF(COUNTIFS(Engagements!$B$5:$B$200,$J16,Engagements!$F$5:$F$200,H$5,Engagements!$O$5:$O$200,"Nowhere")&gt;0,"Named, no record","Source not stated")))</f>
        <v/>
      </c>
      <c r="I16" s="137">
        <f>INDEX(Customers!$I$5:$I$16,MATCH(B16,Customers!$D$5:$D$16,0))</f>
        <v/>
      </c>
      <c r="J16">
        <f>INDEX(Customers!$A$5:$A$16,MATCH(B16,Customers!$D$5:$D$16,0))</f>
        <v/>
      </c>
      <c r="K16">
        <f>IF(COUNTIF(E16:H16,"Named, no record")&gt;0,B16,0)</f>
        <v/>
      </c>
    </row>
    <row r="17" ht="26" customHeight="1">
      <c r="A17" s="134">
        <f>INDEX(Customers!$B$5:$B$16,MATCH(B17,Customers!$D$5:$D$16,0))</f>
        <v/>
      </c>
      <c r="B17" s="135">
        <f>LARGE(Customers!$D$5:$D$16,12)</f>
        <v/>
      </c>
      <c r="C17" s="136">
        <f>IF(COUNTIFS(Engagements!$B$5:$B$200,$J17,Engagements!$F$5:$F$200,C$5)=0,"None",IF(COUNTIFS(Engagements!$B$5:$B$200,$J17,Engagements!$F$5:$F$200,C$5)-COUNTIFS(Engagements!$B$5:$B$200,$J17,Engagements!$F$5:$F$200,C$5,Engagements!$O$5:$O$200,"Nowhere")-COUNTIFS(Engagements!$B$5:$B$200,$J17,Engagements!$F$5:$F$200,C$5,Engagements!$O$5:$O$200,"")&gt;0,"Recorded",IF(COUNTIFS(Engagements!$B$5:$B$200,$J17,Engagements!$F$5:$F$200,C$5,Engagements!$O$5:$O$200,"Nowhere")&gt;0,"Named, no record","Source not stated")))</f>
        <v/>
      </c>
      <c r="D17" s="136">
        <f>IF(COUNTIFS(Engagements!$B$5:$B$200,$J17,Engagements!$F$5:$F$200,D$5)=0,"None",IF(COUNTIFS(Engagements!$B$5:$B$200,$J17,Engagements!$F$5:$F$200,D$5)-COUNTIFS(Engagements!$B$5:$B$200,$J17,Engagements!$F$5:$F$200,D$5,Engagements!$O$5:$O$200,"Nowhere")-COUNTIFS(Engagements!$B$5:$B$200,$J17,Engagements!$F$5:$F$200,D$5,Engagements!$O$5:$O$200,"")&gt;0,"Recorded",IF(COUNTIFS(Engagements!$B$5:$B$200,$J17,Engagements!$F$5:$F$200,D$5,Engagements!$O$5:$O$200,"Nowhere")&gt;0,"Named, no record","Source not stated")))</f>
        <v/>
      </c>
      <c r="E17" s="136">
        <f>IF(COUNTIFS(Engagements!$B$5:$B$200,$J17,Engagements!$F$5:$F$200,E$5)=0,"None",IF(COUNTIFS(Engagements!$B$5:$B$200,$J17,Engagements!$F$5:$F$200,E$5)-COUNTIFS(Engagements!$B$5:$B$200,$J17,Engagements!$F$5:$F$200,E$5,Engagements!$O$5:$O$200,"Nowhere")-COUNTIFS(Engagements!$B$5:$B$200,$J17,Engagements!$F$5:$F$200,E$5,Engagements!$O$5:$O$200,"")&gt;0,"Recorded",IF(COUNTIFS(Engagements!$B$5:$B$200,$J17,Engagements!$F$5:$F$200,E$5,Engagements!$O$5:$O$200,"Nowhere")&gt;0,"Named, no record","Source not stated")))</f>
        <v/>
      </c>
      <c r="F17" s="136">
        <f>IF(COUNTIFS(Engagements!$B$5:$B$200,$J17,Engagements!$F$5:$F$200,F$5)=0,"None",IF(COUNTIFS(Engagements!$B$5:$B$200,$J17,Engagements!$F$5:$F$200,F$5)-COUNTIFS(Engagements!$B$5:$B$200,$J17,Engagements!$F$5:$F$200,F$5,Engagements!$O$5:$O$200,"Nowhere")-COUNTIFS(Engagements!$B$5:$B$200,$J17,Engagements!$F$5:$F$200,F$5,Engagements!$O$5:$O$200,"")&gt;0,"Recorded",IF(COUNTIFS(Engagements!$B$5:$B$200,$J17,Engagements!$F$5:$F$200,F$5,Engagements!$O$5:$O$200,"Nowhere")&gt;0,"Named, no record","Source not stated")))</f>
        <v/>
      </c>
      <c r="G17" s="136">
        <f>IF(COUNTIFS(Engagements!$B$5:$B$200,$J17,Engagements!$F$5:$F$200,G$5)=0,"None",IF(COUNTIFS(Engagements!$B$5:$B$200,$J17,Engagements!$F$5:$F$200,G$5)-COUNTIFS(Engagements!$B$5:$B$200,$J17,Engagements!$F$5:$F$200,G$5,Engagements!$O$5:$O$200,"Nowhere")-COUNTIFS(Engagements!$B$5:$B$200,$J17,Engagements!$F$5:$F$200,G$5,Engagements!$O$5:$O$200,"")&gt;0,"Recorded",IF(COUNTIFS(Engagements!$B$5:$B$200,$J17,Engagements!$F$5:$F$200,G$5,Engagements!$O$5:$O$200,"Nowhere")&gt;0,"Named, no record","Source not stated")))</f>
        <v/>
      </c>
      <c r="H17" s="136">
        <f>IF(COUNTIFS(Engagements!$B$5:$B$200,$J17,Engagements!$F$5:$F$200,H$5)=0,"None",IF(COUNTIFS(Engagements!$B$5:$B$200,$J17,Engagements!$F$5:$F$200,H$5)-COUNTIFS(Engagements!$B$5:$B$200,$J17,Engagements!$F$5:$F$200,H$5,Engagements!$O$5:$O$200,"Nowhere")-COUNTIFS(Engagements!$B$5:$B$200,$J17,Engagements!$F$5:$F$200,H$5,Engagements!$O$5:$O$200,"")&gt;0,"Recorded",IF(COUNTIFS(Engagements!$B$5:$B$200,$J17,Engagements!$F$5:$F$200,H$5,Engagements!$O$5:$O$200,"Nowhere")&gt;0,"Named, no record","Source not stated")))</f>
        <v/>
      </c>
      <c r="I17" s="137">
        <f>INDEX(Customers!$I$5:$I$16,MATCH(B17,Customers!$D$5:$D$16,0))</f>
        <v/>
      </c>
      <c r="J17">
        <f>INDEX(Customers!$A$5:$A$16,MATCH(B17,Customers!$D$5:$D$16,0))</f>
        <v/>
      </c>
      <c r="K17">
        <f>IF(COUNTIF(E17:H17,"Named, no record")&gt;0,B17,0)</f>
        <v/>
      </c>
    </row>
    <row r="19" ht="40" customHeight="1">
      <c r="A19" s="138" t="inlineStr">
        <is>
          <t>Each block: green, a system you run (CRM, PRM, CS platform, PSA, support, Slack Connect) holds a partner for this customer at this stage; amber, a partner was involved and the Source of record on Engagements says Nowhere; grey, no partner. Select a block to read its value.</t>
        </is>
      </c>
    </row>
    <row r="22">
      <c r="A22" s="139" t="inlineStr">
        <is>
          <t>Unrecorded partners touch most post-sale ARR</t>
        </is>
      </c>
    </row>
    <row r="23">
      <c r="A23" s="127">
        <f>TEXT(SUM(K6:K17)/1000,"$#,##0")&amp;"k of ARR at adoption and later sits with a partner no system records · illustrative, twelve customers"</f>
        <v/>
      </c>
    </row>
    <row r="43">
      <c r="A43" s="140" t="inlineStr">
        <is>
          <t>Chart data</t>
        </is>
      </c>
    </row>
    <row r="44" ht="26" customHeight="1">
      <c r="A44" s="143" t="inlineStr">
        <is>
          <t>Stage</t>
        </is>
      </c>
      <c r="B44" s="143" t="inlineStr">
        <is>
          <t>Recorded partner</t>
        </is>
      </c>
      <c r="C44" s="143" t="inlineStr">
        <is>
          <t>Customer named, no record</t>
        </is>
      </c>
    </row>
    <row r="45">
      <c r="A45" s="141" t="inlineStr">
        <is>
          <t>Acquisition</t>
        </is>
      </c>
      <c r="B45" s="144">
        <f>SUMIF(C$6:C$17,"Recorded",$B$6:$B$17)</f>
        <v/>
      </c>
      <c r="C45" s="145">
        <f>SUMIF(C$6:C$17,"Named, no record",$B$6:$B$17)</f>
        <v/>
      </c>
    </row>
    <row r="46">
      <c r="A46" s="141" t="inlineStr">
        <is>
          <t>Onboarding</t>
        </is>
      </c>
      <c r="B46" s="144">
        <f>SUMIF(D$6:D$17,"Recorded",$B$6:$B$17)</f>
        <v/>
      </c>
      <c r="C46" s="145">
        <f>SUMIF(D$6:D$17,"Named, no record",$B$6:$B$17)</f>
        <v/>
      </c>
    </row>
    <row r="47">
      <c r="A47" s="141" t="inlineStr">
        <is>
          <t>Adoption</t>
        </is>
      </c>
      <c r="B47" s="144">
        <f>SUMIF(E$6:E$17,"Recorded",$B$6:$B$17)</f>
        <v/>
      </c>
      <c r="C47" s="145">
        <f>SUMIF(E$6:E$17,"Named, no record",$B$6:$B$17)</f>
        <v/>
      </c>
    </row>
    <row r="48">
      <c r="A48" s="141" t="inlineStr">
        <is>
          <t>Retention</t>
        </is>
      </c>
      <c r="B48" s="144">
        <f>SUMIF(F$6:F$17,"Recorded",$B$6:$B$17)</f>
        <v/>
      </c>
      <c r="C48" s="145">
        <f>SUMIF(F$6:F$17,"Named, no record",$B$6:$B$17)</f>
        <v/>
      </c>
    </row>
    <row r="49">
      <c r="A49" s="141" t="inlineStr">
        <is>
          <t>Expansion</t>
        </is>
      </c>
      <c r="B49" s="144">
        <f>SUMIF(G$6:G$17,"Recorded",$B$6:$B$17)</f>
        <v/>
      </c>
      <c r="C49" s="145">
        <f>SUMIF(G$6:G$17,"Named, no record",$B$6:$B$17)</f>
        <v/>
      </c>
    </row>
    <row r="50">
      <c r="A50" s="141" t="inlineStr">
        <is>
          <t>Advocacy</t>
        </is>
      </c>
      <c r="B50" s="144">
        <f>SUMIF(H$6:H$17,"Recorded",$B$6:$B$17)</f>
        <v/>
      </c>
      <c r="C50" s="145">
        <f>SUMIF(H$6:H$17,"Named, no record",$B$6:$B$17)</f>
        <v/>
      </c>
    </row>
  </sheetData>
  <mergeCells count="4">
    <mergeCell ref="A19:I19"/>
    <mergeCell ref="C3:D3"/>
    <mergeCell ref="G3:H3"/>
    <mergeCell ref="E3:F3"/>
  </mergeCells>
  <conditionalFormatting sqref="C6:H17">
    <cfRule type="expression" priority="1" dxfId="3">
      <formula>C6="Recorded"</formula>
    </cfRule>
    <cfRule type="expression" priority="2" dxfId="6">
      <formula>C6="Named, no record"</formula>
    </cfRule>
    <cfRule type="expression" priority="3" dxfId="5">
      <formula>C6="Source not stated"</formula>
    </cfRule>
  </conditionalFormatting>
  <pageMargins left="0.75" right="0.75" top="1" bottom="1" header="0.5" footer="0.5"/>
  <drawing xmlns:r="http://schemas.openxmlformats.org/officeDocument/2006/relationships" r:id="rId1"/>
</worksheet>
</file>

<file path=xl/worksheets/sheet19.xml><?xml version="1.0" encoding="utf-8"?>
<worksheet xmlns="http://schemas.openxmlformats.org/spreadsheetml/2006/main">
  <sheetPr>
    <tabColor rgb="FF6A1B9A"/>
    <outlinePr summaryBelow="1" summaryRight="1"/>
    <pageSetUpPr/>
  </sheetPr>
  <dimension ref="A1:I20"/>
  <sheetViews>
    <sheetView workbookViewId="0">
      <selection activeCell="A1" sqref="A1"/>
    </sheetView>
  </sheetViews>
  <sheetFormatPr baseColWidth="8" defaultRowHeight="15"/>
  <cols>
    <col width="14" customWidth="1" min="1" max="1"/>
    <col width="18" customWidth="1" min="2" max="2"/>
    <col width="52" customWidth="1" min="3" max="3"/>
    <col width="22" customWidth="1" min="4" max="4"/>
    <col width="30" customWidth="1" min="5" max="5"/>
    <col width="22" customWidth="1" min="6" max="6"/>
    <col width="18" customWidth="1" min="7" max="7"/>
    <col width="36" customWidth="1" min="8" max="8"/>
    <col width="16" customWidth="1" min="9" max="9"/>
  </cols>
  <sheetData>
    <row r="1">
      <c r="A1" s="116" t="inlineStr">
        <is>
          <t>Research &amp; Parameters: what published evidence says, by lifecycle stage</t>
        </is>
      </c>
    </row>
    <row r="2" ht="62" customHeight="1">
      <c r="A2" s="117" t="inlineStr">
        <is>
          <t>Every row comes from a source with a disclosed sample and method, and carries its setting. These are effects measured elsewhere, not predictions for your business. Counter-evidence is listed on purpose. Where no approved source exists, the row says so rather than offering a figure. 'Your assumption' is empty on purpose: type your own figure if you use one, and treat it as yours.</t>
        </is>
      </c>
    </row>
    <row r="4">
      <c r="A4" s="123" t="inlineStr">
        <is>
          <t>Stage</t>
        </is>
      </c>
      <c r="B4" s="123" t="inlineStr">
        <is>
          <t>Outcome</t>
        </is>
      </c>
      <c r="C4" s="123" t="inlineStr">
        <is>
          <t>Finding</t>
        </is>
      </c>
      <c r="D4" s="123" t="inlineStr">
        <is>
          <t>Effect</t>
        </is>
      </c>
      <c r="E4" s="123" t="inlineStr">
        <is>
          <t>Sample and design</t>
        </is>
      </c>
      <c r="F4" s="123" t="inlineStr">
        <is>
          <t>Setting</t>
        </is>
      </c>
      <c r="G4" s="123" t="inlineStr">
        <is>
          <t>Status</t>
        </is>
      </c>
      <c r="H4" s="123" t="inlineStr">
        <is>
          <t>Source</t>
        </is>
      </c>
      <c r="I4" s="123" t="inlineStr">
        <is>
          <t>Your assumption</t>
        </is>
      </c>
    </row>
    <row r="5">
      <c r="A5" s="117" t="inlineStr">
        <is>
          <t>Acquisition</t>
        </is>
      </c>
      <c r="B5" s="117" t="inlineStr">
        <is>
          <t>Retention</t>
        </is>
      </c>
      <c r="C5" s="117" t="inlineStr">
        <is>
          <t>Referred customers churned less than comparable unreferred customers, and the gap did not erode. The mechanism is selection at acquisition, not switching costs.</t>
        </is>
      </c>
      <c r="D5" s="117" t="inlineStr">
        <is>
          <t>About 18% lower churn</t>
        </is>
      </c>
      <c r="E5" s="117" t="inlineStr">
        <is>
          <t>5,181 referred vs 4,633 control customers over 33 months; field data</t>
        </is>
      </c>
      <c r="F5" s="117" t="inlineStr">
        <is>
          <t>Bank customers (consumer banking)</t>
        </is>
      </c>
      <c r="G5" s="117" t="inlineStr">
        <is>
          <t>Approved</t>
        </is>
      </c>
      <c r="H5" s="124" t="inlineStr">
        <is>
          <t>Schmitt, Skiera &amp; Van den Bulte (2011), Journal of Marketing</t>
        </is>
      </c>
      <c r="I5" s="125" t="n"/>
    </row>
    <row r="6">
      <c r="A6" s="117" t="inlineStr">
        <is>
          <t>Onboarding</t>
        </is>
      </c>
      <c r="B6" s="117" t="inlineStr">
        <is>
          <t>Time to value, retention</t>
        </is>
      </c>
      <c r="C6" s="117" t="inlineStr">
        <is>
          <t>Proactive onboarding guidance halved first-week churn and raised later usage.</t>
        </is>
      </c>
      <c r="D6" s="117" t="inlineStr">
        <is>
          <t>First-week churn halved; usage +46.6% at 8 months</t>
        </is>
      </c>
      <c r="E6" s="117" t="inlineStr">
        <is>
          <t>Randomised field experiment, n=2,673 (366 treated)</t>
        </is>
      </c>
      <c r="F6" s="117" t="inlineStr">
        <is>
          <t>Cloud infrastructure provider</t>
        </is>
      </c>
      <c r="G6" s="117" t="inlineStr">
        <is>
          <t>Approved</t>
        </is>
      </c>
      <c r="H6" s="124" t="inlineStr">
        <is>
          <t>Retana, Forman &amp; Wu (2016), Manufacturing &amp; Service Operations Management</t>
        </is>
      </c>
      <c r="I6" s="125" t="n"/>
    </row>
    <row r="7">
      <c r="A7" s="117" t="inlineStr">
        <is>
          <t>Adoption</t>
        </is>
      </c>
      <c r="B7" s="117" t="inlineStr">
        <is>
          <t>Efficiency (product use)</t>
        </is>
      </c>
      <c r="C7" s="117" t="inlineStr">
        <is>
          <t>A deeper support tier increased use of the service, and part of the gain persisted after customers downgraded, so it is not only selection.</t>
        </is>
      </c>
      <c r="D7" s="117" t="inlineStr">
        <is>
          <t>Usage +34.9%; +15.0% persisting after downgrade</t>
        </is>
      </c>
      <c r="E7" s="117" t="inlineStr">
        <is>
          <t>n=22,179 firms; observational, with a downgrade test</t>
        </is>
      </c>
      <c r="F7" s="117" t="inlineStr">
        <is>
          <t>Cloud infrastructure provider</t>
        </is>
      </c>
      <c r="G7" s="117" t="inlineStr">
        <is>
          <t>Approved</t>
        </is>
      </c>
      <c r="H7" s="124" t="inlineStr">
        <is>
          <t>Retana et al. (2018), MIS Quarterly</t>
        </is>
      </c>
      <c r="I7" s="125" t="n"/>
    </row>
    <row r="8">
      <c r="A8" s="117" t="inlineStr">
        <is>
          <t>Retention</t>
        </is>
      </c>
      <c r="B8" s="117" t="inlineStr">
        <is>
          <t>Retention</t>
        </is>
      </c>
      <c r="C8" s="117" t="inlineStr">
        <is>
          <t>Of the three kinds of switching cost, relational switching costs have the strongest link to actual repurchase behaviour.</t>
        </is>
      </c>
      <c r="D8" s="117" t="inlineStr">
        <is>
          <t>Strongest of three types</t>
        </is>
      </c>
      <c r="E8" s="117" t="inlineStr">
        <is>
          <t>Meta-analysis: 233 effects, more than 133,000 customers</t>
        </is>
      </c>
      <c r="F8" s="117" t="inlineStr">
        <is>
          <t>Mixed industries</t>
        </is>
      </c>
      <c r="G8" s="117" t="inlineStr">
        <is>
          <t>Approved</t>
        </is>
      </c>
      <c r="H8" s="124" t="inlineStr">
        <is>
          <t>Blut, Frennea, Mittal &amp; Mothersbaugh (2015), International Journal of Research in Marketing</t>
        </is>
      </c>
      <c r="I8" s="125" t="n"/>
    </row>
    <row r="9">
      <c r="A9" s="117" t="inlineStr">
        <is>
          <t>Retention</t>
        </is>
      </c>
      <c r="B9" s="117" t="inlineStr">
        <is>
          <t>Retention</t>
        </is>
      </c>
      <c r="C9" s="117" t="inlineStr">
        <is>
          <t>In business-to-business relationships, relational switching costs reduced actual switching; procedural and financial ones did not, significantly.</t>
        </is>
      </c>
      <c r="D9" s="117" t="inlineStr">
        <is>
          <t>Relational: -0.165 (significant)</t>
        </is>
      </c>
      <c r="E9" s="117" t="inlineStr">
        <is>
          <t>n=184 B2B customers; switching measured, not stated</t>
        </is>
      </c>
      <c r="F9" s="117" t="inlineStr">
        <is>
          <t>Business-to-business</t>
        </is>
      </c>
      <c r="G9" s="117" t="inlineStr">
        <is>
          <t>Approved</t>
        </is>
      </c>
      <c r="H9" s="124" t="inlineStr">
        <is>
          <t>Blut, Evanschitzky et al. (2016), Industrial Marketing Management</t>
        </is>
      </c>
      <c r="I9" s="125" t="n"/>
    </row>
    <row r="10">
      <c r="A10" s="117" t="inlineStr">
        <is>
          <t>Retention</t>
        </is>
      </c>
      <c r="B10" s="117" t="inlineStr">
        <is>
          <t>Retention</t>
        </is>
      </c>
      <c r="C10" s="117" t="inlineStr">
        <is>
          <t>Customers who add at least one Marketplace app churn at roughly half the dollar rate of those who do not.</t>
        </is>
      </c>
      <c r="D10" s="117" t="inlineStr">
        <is>
          <t>About half the dollar churn</t>
        </is>
      </c>
      <c r="E10" s="117" t="inlineStr">
        <is>
          <t>Investor disclosure from company data</t>
        </is>
      </c>
      <c r="F10" s="117" t="inlineStr">
        <is>
          <t>Atlassian (Jira)</t>
        </is>
      </c>
      <c r="G10" s="117" t="inlineStr">
        <is>
          <t>Approved (industry)</t>
        </is>
      </c>
      <c r="H10" s="124" t="inlineStr">
        <is>
          <t>Atlassian FY22 Investor Day (publisher site)</t>
        </is>
      </c>
      <c r="I10" s="125" t="n"/>
    </row>
    <row r="11">
      <c r="A11" s="117" t="inlineStr">
        <is>
          <t>Retention</t>
        </is>
      </c>
      <c r="B11" s="117" t="inlineStr">
        <is>
          <t>Relationship</t>
        </is>
      </c>
      <c r="C11" s="117" t="inlineStr">
        <is>
          <t>Relationship marketing is most effective in service offerings, channel exchanges and business markets.</t>
        </is>
      </c>
      <c r="D11" s="117" t="inlineStr">
        <is>
          <t>Strongest in those settings</t>
        </is>
      </c>
      <c r="E11" s="117" t="inlineStr">
        <is>
          <t>Meta-analysis, N=38,077</t>
        </is>
      </c>
      <c r="F11" s="117" t="inlineStr">
        <is>
          <t>Mixed industries</t>
        </is>
      </c>
      <c r="G11" s="117" t="inlineStr">
        <is>
          <t>Approved</t>
        </is>
      </c>
      <c r="H11" s="124" t="inlineStr">
        <is>
          <t>Palmatier, Dant, Grewal &amp; Evans (2006), Journal of Marketing</t>
        </is>
      </c>
      <c r="I11" s="125" t="n"/>
    </row>
    <row r="12">
      <c r="A12" s="117" t="inlineStr">
        <is>
          <t>Retention</t>
        </is>
      </c>
      <c r="B12" s="117" t="inlineStr">
        <is>
          <t>Relationship</t>
        </is>
      </c>
      <c r="C12" s="117" t="inlineStr">
        <is>
          <t>Relationship quality, contact density and contact authority are distinct drivers of customer value.</t>
        </is>
      </c>
      <c r="D12" s="117" t="inlineStr">
        <is>
          <t>Three distinct drivers</t>
        </is>
      </c>
      <c r="E12" s="117" t="inlineStr">
        <is>
          <t>446 B2B buyer-seller dyads</t>
        </is>
      </c>
      <c r="F12" s="117" t="inlineStr">
        <is>
          <t>Business-to-business</t>
        </is>
      </c>
      <c r="G12" s="117" t="inlineStr">
        <is>
          <t>Approved</t>
        </is>
      </c>
      <c r="H12" s="124" t="inlineStr">
        <is>
          <t>Palmatier (2008), Journal of Marketing</t>
        </is>
      </c>
      <c r="I12" s="125" t="n"/>
    </row>
    <row r="13">
      <c r="A13" s="117" t="inlineStr">
        <is>
          <t>Expansion</t>
        </is>
      </c>
      <c r="B13" s="117" t="inlineStr">
        <is>
          <t>Revenue</t>
        </is>
      </c>
      <c r="C13" s="117" t="inlineStr">
        <is>
          <t>Expansion is a large share of new ARR, and larger at scale.</t>
        </is>
      </c>
      <c r="D13" s="117" t="inlineStr">
        <is>
          <t>40% of new ARR; 67% above $100M ARR</t>
        </is>
      </c>
      <c r="E13" s="117" t="inlineStr">
        <is>
          <t>Industry benchmark survey</t>
        </is>
      </c>
      <c r="F13" s="117" t="inlineStr">
        <is>
          <t>B2B SaaS</t>
        </is>
      </c>
      <c r="G13" s="117" t="inlineStr">
        <is>
          <t>Approved (industry)</t>
        </is>
      </c>
      <c r="H13" s="124" t="inlineStr">
        <is>
          <t>Benchmarkit 2025 (publisher site)</t>
        </is>
      </c>
      <c r="I13" s="125" t="n"/>
    </row>
    <row r="14">
      <c r="A14" s="117" t="inlineStr">
        <is>
          <t>Retention / Expansion</t>
        </is>
      </c>
      <c r="B14" s="117" t="inlineStr">
        <is>
          <t>Revenue (benchmark)</t>
        </is>
      </c>
      <c r="C14" s="117" t="inlineStr">
        <is>
          <t>Median net and gross revenue retention.</t>
        </is>
      </c>
      <c r="D14" s="117" t="inlineStr">
        <is>
          <t>NRR about 103%; GRR 88-91%</t>
        </is>
      </c>
      <c r="E14" s="117" t="inlineStr">
        <is>
          <t>Surveys: n=800+ (High Alpha 2025), n&gt;1,000 (SaaS Capital, April 2026)</t>
        </is>
      </c>
      <c r="F14" s="117" t="inlineStr">
        <is>
          <t>Private B2B SaaS</t>
        </is>
      </c>
      <c r="G14" s="117" t="inlineStr">
        <is>
          <t>Approved (industry)</t>
        </is>
      </c>
      <c r="H14" s="124" t="inlineStr">
        <is>
          <t>High Alpha 2025; SaaS Capital April 2026 (publisher site)</t>
        </is>
      </c>
      <c r="I14" s="125" t="n"/>
    </row>
    <row r="15">
      <c r="A15" s="117" t="inlineStr">
        <is>
          <t>Any</t>
        </is>
      </c>
      <c r="B15" s="117" t="inlineStr">
        <is>
          <t>Counter-evidence</t>
        </is>
      </c>
      <c r="C15" s="117" t="inlineStr">
        <is>
          <t>Proactive, vendor-initiated optimisation contact raised churn rather than lowering it.</t>
        </is>
      </c>
      <c r="D15" s="117" t="inlineStr">
        <is>
          <t>Churn 6.4% to 10.0%</t>
        </is>
      </c>
      <c r="E15" s="117" t="inlineStr">
        <is>
          <t>Randomised field experiment, n=64,147</t>
        </is>
      </c>
      <c r="F15" s="117" t="inlineStr">
        <is>
          <t>Mobile telecom plans</t>
        </is>
      </c>
      <c r="G15" s="117" t="inlineStr">
        <is>
          <t>Approved (counter-evidence)</t>
        </is>
      </c>
      <c r="H15" s="124" t="inlineStr">
        <is>
          <t>Ascarza, Iyengar &amp; Schleicher (2016), Journal of Marketing Research</t>
        </is>
      </c>
      <c r="I15" s="125" t="n"/>
    </row>
    <row r="16">
      <c r="A16" s="117" t="inlineStr">
        <is>
          <t>Any</t>
        </is>
      </c>
      <c r="B16" s="117" t="inlineStr">
        <is>
          <t>Counter-evidence</t>
        </is>
      </c>
      <c r="C16" s="117" t="inlineStr">
        <is>
          <t>Fewer than 15% of ecosystems are sustainable; six of seven failure modes are design, not execution.</t>
        </is>
      </c>
      <c r="D16" s="117" t="inlineStr">
        <is>
          <t>Fewer than 15% sustainable</t>
        </is>
      </c>
      <c r="E16" s="117" t="inlineStr">
        <is>
          <t>Consultancy analysis</t>
        </is>
      </c>
      <c r="F16" s="117" t="inlineStr">
        <is>
          <t>Mixed industries</t>
        </is>
      </c>
      <c r="G16" s="117" t="inlineStr">
        <is>
          <t>Approved (counter-evidence)</t>
        </is>
      </c>
      <c r="H16" s="124" t="inlineStr">
        <is>
          <t>BCG (2020) (publisher site)</t>
        </is>
      </c>
      <c r="I16" s="125" t="n"/>
    </row>
    <row r="17">
      <c r="A17" s="117" t="inlineStr">
        <is>
          <t>Any</t>
        </is>
      </c>
      <c r="B17" s="117" t="inlineStr">
        <is>
          <t>Measurement</t>
        </is>
      </c>
      <c r="C17" s="117" t="inlineStr">
        <is>
          <t>Only a minority of large firms consistently measure ecosystem performance.</t>
        </is>
      </c>
      <c r="D17" s="117" t="inlineStr">
        <is>
          <t>36%</t>
        </is>
      </c>
      <c r="E17" s="117" t="inlineStr">
        <is>
          <t>Survey, n=258 director-level and above at $1B+ firms</t>
        </is>
      </c>
      <c r="F17" s="117" t="inlineStr">
        <is>
          <t>Large enterprises</t>
        </is>
      </c>
      <c r="G17" s="117" t="inlineStr">
        <is>
          <t>Approved (industry)</t>
        </is>
      </c>
      <c r="H17" s="124" t="inlineStr">
        <is>
          <t>KPMG (December 2024) (publisher site)</t>
        </is>
      </c>
      <c r="I17" s="125" t="n"/>
    </row>
    <row r="18">
      <c r="A18" s="117" t="inlineStr">
        <is>
          <t>Onboarding</t>
        </is>
      </c>
      <c r="B18" s="117" t="inlineStr">
        <is>
          <t>Cost and margin (delivery)</t>
        </is>
      </c>
      <c r="C18" s="117" t="inlineStr">
        <is>
          <t>No approved source yet prices delivery as a lifecycle lever.</t>
        </is>
      </c>
      <c r="D18" s="117" t="inlineStr"/>
      <c r="E18" s="117" t="inlineStr"/>
      <c r="F18" s="117" t="inlineStr"/>
      <c r="G18" s="117" t="inlineStr">
        <is>
          <t>No approved source yet</t>
        </is>
      </c>
      <c r="H18" s="117" t="inlineStr"/>
      <c r="I18" s="125" t="n"/>
    </row>
    <row r="19">
      <c r="A19" s="117" t="inlineStr">
        <is>
          <t>Expansion</t>
        </is>
      </c>
      <c r="B19" s="117" t="inlineStr">
        <is>
          <t>Cost of growth</t>
        </is>
      </c>
      <c r="C19" s="117" t="inlineStr">
        <is>
          <t>Survey figures compare the cost of a new-customer ARR dollar with an expansion ARR dollar, but they are not yet traced to their primary source.</t>
        </is>
      </c>
      <c r="D19" s="117" t="inlineStr">
        <is>
          <t>Not shown until traced</t>
        </is>
      </c>
      <c r="E19" s="117" t="inlineStr"/>
      <c r="F19" s="117" t="inlineStr"/>
      <c r="G19" s="117" t="inlineStr">
        <is>
          <t>Pending tracing</t>
        </is>
      </c>
      <c r="H19" s="117" t="inlineStr"/>
      <c r="I19" s="125" t="n"/>
    </row>
    <row r="20">
      <c r="A20" s="117" t="inlineStr">
        <is>
          <t>Any</t>
        </is>
      </c>
      <c r="B20" s="117" t="inlineStr">
        <is>
          <t>Margin</t>
        </is>
      </c>
      <c r="C20" s="117" t="inlineStr">
        <is>
          <t>No approved source yet.</t>
        </is>
      </c>
      <c r="D20" s="117" t="inlineStr"/>
      <c r="E20" s="117" t="inlineStr"/>
      <c r="F20" s="117" t="inlineStr"/>
      <c r="G20" s="117" t="inlineStr">
        <is>
          <t>No approved source yet</t>
        </is>
      </c>
      <c r="H20" s="117" t="inlineStr"/>
      <c r="I20" s="125" t="n"/>
    </row>
  </sheetData>
  <mergeCells count="1">
    <mergeCell ref="A2:I2"/>
  </mergeCells>
  <hyperlinks>
    <hyperlink xmlns:r="http://schemas.openxmlformats.org/officeDocument/2006/relationships" ref="H5" r:id="rId1"/>
    <hyperlink xmlns:r="http://schemas.openxmlformats.org/officeDocument/2006/relationships" ref="H6" r:id="rId2"/>
    <hyperlink xmlns:r="http://schemas.openxmlformats.org/officeDocument/2006/relationships" ref="H7" r:id="rId3"/>
    <hyperlink xmlns:r="http://schemas.openxmlformats.org/officeDocument/2006/relationships" ref="H8" r:id="rId4"/>
    <hyperlink xmlns:r="http://schemas.openxmlformats.org/officeDocument/2006/relationships" ref="H9" r:id="rId5"/>
    <hyperlink xmlns:r="http://schemas.openxmlformats.org/officeDocument/2006/relationships" ref="H10" r:id="rId6"/>
    <hyperlink xmlns:r="http://schemas.openxmlformats.org/officeDocument/2006/relationships" ref="H11" r:id="rId7"/>
    <hyperlink xmlns:r="http://schemas.openxmlformats.org/officeDocument/2006/relationships" ref="H12" r:id="rId8"/>
    <hyperlink xmlns:r="http://schemas.openxmlformats.org/officeDocument/2006/relationships" ref="H13" r:id="rId9"/>
    <hyperlink xmlns:r="http://schemas.openxmlformats.org/officeDocument/2006/relationships" ref="H14" r:id="rId10"/>
    <hyperlink xmlns:r="http://schemas.openxmlformats.org/officeDocument/2006/relationships" ref="H15" r:id="rId11"/>
    <hyperlink xmlns:r="http://schemas.openxmlformats.org/officeDocument/2006/relationships" ref="H16" r:id="rId12"/>
    <hyperlink xmlns:r="http://schemas.openxmlformats.org/officeDocument/2006/relationships" ref="H17" r:id="rId13"/>
  </hyperlinks>
  <pageMargins left="0.75" right="0.75" top="1" bottom="1" header="0.5" footer="0.5"/>
</worksheet>
</file>

<file path=xl/worksheets/sheet20.xml><?xml version="1.0" encoding="utf-8"?>
<worksheet xmlns="http://schemas.openxmlformats.org/spreadsheetml/2006/main">
  <sheetPr>
    <tabColor rgb="FFB45309"/>
    <outlinePr summaryBelow="1" summaryRight="1"/>
    <pageSetUpPr/>
  </sheetPr>
  <dimension ref="A1:I33"/>
  <sheetViews>
    <sheetView showGridLines="0" workbookViewId="0">
      <selection activeCell="A1" sqref="A1"/>
    </sheetView>
  </sheetViews>
  <sheetFormatPr baseColWidth="8" defaultRowHeight="15"/>
  <cols>
    <col width="54" customWidth="1" min="1" max="1"/>
    <col width="44" customWidth="1" min="2" max="2"/>
    <col width="30" customWidth="1" min="3" max="3"/>
    <col width="14" customWidth="1" min="4" max="4"/>
    <col width="12" customWidth="1" min="5" max="5"/>
    <col width="16" customWidth="1" min="6" max="6"/>
    <col width="11" customWidth="1" min="7" max="7"/>
    <col width="14" customWidth="1" min="8" max="8"/>
    <col width="14" customWidth="1" min="9" max="9"/>
  </cols>
  <sheetData>
    <row r="1">
      <c r="A1" s="126" t="inlineStr">
        <is>
          <t>Scenario: what the published effects would mean at your scale</t>
        </is>
      </c>
    </row>
    <row r="2" ht="52" customHeight="1">
      <c r="A2" s="146" t="inlineStr">
        <is>
          <t>Each research effect was measured in another company and setting (see Research &amp; Parameters). Applied to your numbers, it shows what that effect would be worth at your scale. It is not a forecast for your business. 'Your effect' starts at 0, meaning no change; replace it with what you observe, and the difference column shows how far your own value sits from the research.</t>
        </is>
      </c>
    </row>
    <row r="4">
      <c r="A4" s="147" t="inlineStr">
        <is>
          <t>Your numbers</t>
        </is>
      </c>
    </row>
    <row r="5">
      <c r="A5" s="148" t="inlineStr">
        <is>
          <t>Total ARR</t>
        </is>
      </c>
      <c r="B5" s="149">
        <f>SUM(Customers!$D$5:$D$16)</f>
        <v/>
      </c>
      <c r="C5" s="141" t="inlineStr">
        <is>
          <t>From the Customers sheet.</t>
        </is>
      </c>
    </row>
    <row r="6">
      <c r="A6" s="148" t="inlineStr">
        <is>
          <t>Gross revenue retention, per year</t>
        </is>
      </c>
      <c r="B6" s="150" t="n">
        <v>0.9</v>
      </c>
      <c r="C6" s="141" t="inlineStr">
        <is>
          <t>Benchmark midpoint (GRR 88-91%, High Alpha 2025 / SaaS Capital 2026). Replace with yours.</t>
        </is>
      </c>
    </row>
    <row r="7">
      <c r="A7" s="148" t="inlineStr">
        <is>
          <t>ARR churned per year</t>
        </is>
      </c>
      <c r="B7" s="149">
        <f>B5*(1-B6)</f>
        <v/>
      </c>
      <c r="C7" s="141" t="inlineStr">
        <is>
          <t>Total ARR x (1 - gross retention).</t>
        </is>
      </c>
    </row>
    <row r="8">
      <c r="A8" s="148" t="inlineStr">
        <is>
          <t>New-customer ARR per year</t>
        </is>
      </c>
      <c r="B8" s="151">
        <f>ROUND(B5*0.2,-3)</f>
        <v/>
      </c>
      <c r="C8" s="141" t="inlineStr">
        <is>
          <t>Illustrative: 20% of ARR. Replace with yours.</t>
        </is>
      </c>
    </row>
    <row r="9">
      <c r="A9" s="148" t="inlineStr">
        <is>
          <t>Churn among new customers in their first year</t>
        </is>
      </c>
      <c r="B9" s="150" t="n">
        <v>0.1</v>
      </c>
      <c r="C9" s="141" t="inlineStr">
        <is>
          <t>Illustrative. Replace with yours.</t>
        </is>
      </c>
    </row>
    <row r="10">
      <c r="A10" s="148" t="inlineStr">
        <is>
          <t>Share of ARR from partner-referred customers</t>
        </is>
      </c>
      <c r="B10" s="152">
        <f>IFERROR(SUMIFS(Opportunities!$L$5:$L$200,Opportunities!$D$5:$D$200,"Partner Referral",Opportunities!$F$5:$F$200,"Closed Won")/SUMIFS(Opportunities!$L$5:$L$200,Opportunities!$F$5:$F$200,"Closed Won"),0)</f>
        <v/>
      </c>
      <c r="C10" s="141" t="inlineStr">
        <is>
          <t>From the Opportunities sheet: won deal value that was partner-referred.</t>
        </is>
      </c>
    </row>
    <row r="11">
      <c r="A11" s="148" t="inlineStr">
        <is>
          <t>Share of ARR with an integration or marketplace app</t>
        </is>
      </c>
      <c r="B11" s="150" t="n">
        <v>0.25</v>
      </c>
      <c r="C11" s="141" t="inlineStr">
        <is>
          <t>Illustrative. Replace with yours.</t>
        </is>
      </c>
    </row>
    <row r="12">
      <c r="A12" s="148" t="inlineStr">
        <is>
          <t>Share of customers given vendor-initiated optimisation outreach</t>
        </is>
      </c>
      <c r="B12" s="150" t="n">
        <v>0</v>
      </c>
      <c r="C12" s="141" t="inlineStr">
        <is>
          <t>Default 0: no such programme. Enter a share to see the counter-effect.</t>
        </is>
      </c>
    </row>
    <row r="13">
      <c r="A13" s="148" t="inlineStr">
        <is>
          <t>Expansion ARR per year (yours)</t>
        </is>
      </c>
      <c r="B13" s="151">
        <f>ROUND(B8*0.3,-3)</f>
        <v/>
      </c>
      <c r="C13" s="141" t="inlineStr">
        <is>
          <t>Illustrative. Replace with yours.</t>
        </is>
      </c>
    </row>
    <row r="15">
      <c r="A15" s="147" t="inlineStr">
        <is>
          <t>Effects by lifecycle stage (per year)</t>
        </is>
      </c>
    </row>
    <row r="16" ht="32" customHeight="1">
      <c r="A16" s="153" t="inlineStr">
        <is>
          <t>Stage</t>
        </is>
      </c>
      <c r="B16" s="153" t="inlineStr">
        <is>
          <t>Research finding</t>
        </is>
      </c>
      <c r="C16" s="153" t="inlineStr">
        <is>
          <t>Applied to</t>
        </is>
      </c>
      <c r="D16" s="153" t="inlineStr">
        <is>
          <t>Base ($)</t>
        </is>
      </c>
      <c r="E16" s="153" t="inlineStr">
        <is>
          <t>Research effect</t>
        </is>
      </c>
      <c r="F16" s="153" t="inlineStr">
        <is>
          <t>Research-based result ($)</t>
        </is>
      </c>
      <c r="G16" s="153" t="inlineStr">
        <is>
          <t>Your effect</t>
        </is>
      </c>
      <c r="H16" s="153" t="inlineStr">
        <is>
          <t>Your result ($)</t>
        </is>
      </c>
      <c r="I16" s="153" t="inlineStr">
        <is>
          <t>Difference ($)</t>
        </is>
      </c>
    </row>
    <row r="17" ht="44" customHeight="1">
      <c r="A17" s="117" t="inlineStr">
        <is>
          <t>Acquisition</t>
        </is>
      </c>
      <c r="B17" s="117" t="inlineStr">
        <is>
          <t>Referred customers churned about 18% less (Schmitt, Skiera &amp; Van den Bulte 2011)</t>
        </is>
      </c>
      <c r="C17" s="117" t="inlineStr">
        <is>
          <t>Churned ARR from partner-referred customers</t>
        </is>
      </c>
      <c r="D17" s="158">
        <f>B7*B10</f>
        <v/>
      </c>
      <c r="E17" s="159" t="n">
        <v>0.18</v>
      </c>
      <c r="F17" s="158">
        <f>D17*E17</f>
        <v/>
      </c>
      <c r="G17" s="160" t="n">
        <v>0</v>
      </c>
      <c r="H17" s="158">
        <f>D17*G17</f>
        <v/>
      </c>
      <c r="I17" s="158">
        <f>H17-F17</f>
        <v/>
      </c>
    </row>
    <row r="18" ht="44" customHeight="1">
      <c r="A18" s="117" t="inlineStr">
        <is>
          <t>Onboarding</t>
        </is>
      </c>
      <c r="B18" s="117" t="inlineStr">
        <is>
          <t>Proactive onboarding guidance halved first-week churn (Retana, Forman &amp; Wu 2016)</t>
        </is>
      </c>
      <c r="C18" s="117" t="inlineStr">
        <is>
          <t>New-customer ARR lost to early churn</t>
        </is>
      </c>
      <c r="D18" s="158">
        <f>B8*B9</f>
        <v/>
      </c>
      <c r="E18" s="159" t="n">
        <v>0.5</v>
      </c>
      <c r="F18" s="158">
        <f>D18*E18</f>
        <v/>
      </c>
      <c r="G18" s="160" t="n">
        <v>0</v>
      </c>
      <c r="H18" s="158">
        <f>D18*G18</f>
        <v/>
      </c>
      <c r="I18" s="158">
        <f>H18-F18</f>
        <v/>
      </c>
    </row>
    <row r="19" ht="44" customHeight="1">
      <c r="A19" s="117" t="inlineStr">
        <is>
          <t>Adoption</t>
        </is>
      </c>
      <c r="B19" s="117" t="inlineStr">
        <is>
          <t>A deeper support tier raised product use by 34.9% (Retana et al. 2018)</t>
        </is>
      </c>
      <c r="C19" s="117" t="inlineStr">
        <is>
          <t>Product use (no approved source converts it to money)</t>
        </is>
      </c>
      <c r="D19" s="161" t="inlineStr">
        <is>
          <t>n/a</t>
        </is>
      </c>
      <c r="E19" s="159" t="n">
        <v>0.349</v>
      </c>
      <c r="F19" s="161" t="inlineStr">
        <is>
          <t>n/a</t>
        </is>
      </c>
      <c r="G19" s="160" t="n">
        <v>0</v>
      </c>
      <c r="H19" s="161" t="inlineStr">
        <is>
          <t>n/a</t>
        </is>
      </c>
      <c r="I19" s="161" t="inlineStr">
        <is>
          <t>n/a</t>
        </is>
      </c>
    </row>
    <row r="20" ht="44" customHeight="1">
      <c r="A20" s="117" t="inlineStr">
        <is>
          <t>Retention</t>
        </is>
      </c>
      <c r="B20" s="117" t="inlineStr">
        <is>
          <t>Customers with a Marketplace app churn at about half the dollar rate (Atlassian FY22)</t>
        </is>
      </c>
      <c r="C20" s="117" t="inlineStr">
        <is>
          <t>Churned ARR from customers with an integration or app</t>
        </is>
      </c>
      <c r="D20" s="158">
        <f>B7*B11</f>
        <v/>
      </c>
      <c r="E20" s="159" t="n">
        <v>0.5</v>
      </c>
      <c r="F20" s="158">
        <f>D20*E20</f>
        <v/>
      </c>
      <c r="G20" s="160" t="n">
        <v>0</v>
      </c>
      <c r="H20" s="158">
        <f>D20*G20</f>
        <v/>
      </c>
      <c r="I20" s="158">
        <f>H20-F20</f>
        <v/>
      </c>
    </row>
    <row r="21" ht="44" customHeight="1">
      <c r="A21" s="117" t="inlineStr">
        <is>
          <t>Any</t>
        </is>
      </c>
      <c r="B21" s="117" t="inlineStr">
        <is>
          <t>Counter-evidence: vendor-initiated optimisation contact raised churn from 6.4% to 10.0% (Ascarza et al. 2016)</t>
        </is>
      </c>
      <c r="C21" s="117" t="inlineStr">
        <is>
          <t>Churned ARR from customers given such outreach</t>
        </is>
      </c>
      <c r="D21" s="158">
        <f>B7*B12</f>
        <v/>
      </c>
      <c r="E21" s="159" t="n">
        <v>-0.5625</v>
      </c>
      <c r="F21" s="158">
        <f>D21*E21</f>
        <v/>
      </c>
      <c r="G21" s="160" t="n">
        <v>0</v>
      </c>
      <c r="H21" s="158">
        <f>D21*G21</f>
        <v/>
      </c>
      <c r="I21" s="158">
        <f>H21-F21</f>
        <v/>
      </c>
    </row>
    <row r="22">
      <c r="A22" s="156" t="inlineStr">
        <is>
          <t>Total ARR effect per year</t>
        </is>
      </c>
      <c r="F22" s="157">
        <f>SUM(F17:F21)</f>
        <v/>
      </c>
      <c r="H22" s="157">
        <f>SUM(H17:H21)</f>
        <v/>
      </c>
      <c r="I22" s="157">
        <f>SUM(I17:I21)</f>
        <v/>
      </c>
    </row>
    <row r="25">
      <c r="A25" s="147" t="inlineStr">
        <is>
          <t>Revenue: expansion against the benchmark</t>
        </is>
      </c>
    </row>
    <row r="26">
      <c r="A26" s="148" t="inlineStr">
        <is>
          <t>Benchmark expansion ARR</t>
        </is>
      </c>
      <c r="B26" s="149">
        <f>B8*0.4/0.6</f>
        <v/>
      </c>
      <c r="C26" s="141" t="inlineStr">
        <is>
          <t>Benchmarkit 2025: expansion is 40% of all new ARR (67% above $100M ARR), so expansion = new-customer ARR x 40/60.</t>
        </is>
      </c>
    </row>
    <row r="27">
      <c r="A27" s="148" t="inlineStr">
        <is>
          <t>Your expansion ARR</t>
        </is>
      </c>
      <c r="B27" s="149">
        <f>B13</f>
        <v/>
      </c>
      <c r="C27" s="141" t="inlineStr">
        <is>
          <t>From your numbers above.</t>
        </is>
      </c>
    </row>
    <row r="28">
      <c r="A28" s="148" t="inlineStr">
        <is>
          <t>Gap to the benchmark</t>
        </is>
      </c>
      <c r="B28" s="149">
        <f>B26-B27</f>
        <v/>
      </c>
      <c r="C28" s="141" t="inlineStr">
        <is>
          <t>Positive: expansion the benchmark would add at your scale.</t>
        </is>
      </c>
    </row>
    <row r="30">
      <c r="A30" s="147" t="inlineStr">
        <is>
          <t>Not calculated, on purpose</t>
        </is>
      </c>
    </row>
    <row r="31">
      <c r="A31" s="127" t="inlineStr">
        <is>
          <t xml:space="preserve">  • Cost of growth (cost per new-customer versus expansion ARR dollar): the survey figures are not yet traced to their primary source.</t>
        </is>
      </c>
    </row>
    <row r="32">
      <c r="A32" s="127" t="inlineStr">
        <is>
          <t xml:space="preserve">  • Delivery cost and margin: no approved source prices them as a lifecycle lever.</t>
        </is>
      </c>
    </row>
    <row r="33">
      <c r="A33" s="127" t="inlineStr">
        <is>
          <t xml:space="preserve">  • This is an estimate built from other companies' results. A study on your own data replaces it with an observed one.</t>
        </is>
      </c>
    </row>
  </sheetData>
  <mergeCells count="1">
    <mergeCell ref="A2:I2"/>
  </mergeCells>
  <hyperlinks>
    <hyperlink xmlns:r="http://schemas.openxmlformats.org/officeDocument/2006/relationships" ref="B17" r:id="rId1"/>
    <hyperlink xmlns:r="http://schemas.openxmlformats.org/officeDocument/2006/relationships" ref="B18" r:id="rId2"/>
    <hyperlink xmlns:r="http://schemas.openxmlformats.org/officeDocument/2006/relationships" ref="B19" r:id="rId3"/>
    <hyperlink xmlns:r="http://schemas.openxmlformats.org/officeDocument/2006/relationships" ref="B20" r:id="rId4"/>
    <hyperlink xmlns:r="http://schemas.openxmlformats.org/officeDocument/2006/relationships" ref="B21" r:id="rId5"/>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2026-04-23T10:25:08Z</dcterms:created>
  <dcterms:modified xmlns:dcterms="http://purl.org/dc/terms/" xmlns:xsi="http://www.w3.org/2001/XMLSchema-instance" xsi:type="dcterms:W3CDTF">2026-10-08T20:51:37Z</dcterms:modified>
  <cp:lastModifiedBy>A Scholte</cp:lastModifiedBy>
  <cp:revision>0</cp:revision>
</cp:coreProperties>
</file>